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 Dashboard" sheetId="1" state="visible" r:id="rId3"/>
    <sheet name="📋 User Guide" sheetId="2" state="visible" r:id="rId4"/>
    <sheet name="💳 Debt Calculator" sheetId="3" state="visible" r:id="rId5"/>
    <sheet name="💼 Income &amp; Budget" sheetId="4" state="visible" r:id="rId6"/>
    <sheet name="🏦 Pension Planner" sheetId="5" state="visible" r:id="rId7"/>
    <sheet name="📊 Net Worth Tracker" sheetId="6" state="visible" r:id="rId8"/>
    <sheet name="🎯 Savings Goal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<sst xmlns="http://schemas.openxmlformats.org/spreadsheetml/2006/main" count="302" uniqueCount="294">
  <si>
    <t xml:space="preserve">💰  PERSONAL WEALTH &amp; FINANCIAL CALCULATOR</t>
  </si>
  <si>
    <t xml:space="preserve">Your complete financial health hub — inputs in BLUE  |  results in GREY  |  key results in GOLD</t>
  </si>
  <si>
    <t xml:space="preserve">📋  USER GUIDE  —  Start here — read instructions  →  Navigate to sheet: '🏠 Dashboard'</t>
  </si>
  <si>
    <t xml:space="preserve">💳  DEBT CALCULATOR  —  Track &amp; prioritise your debts  →  Navigate to sheet: '💳 Debt Calculator'</t>
  </si>
  <si>
    <t xml:space="preserve">💼  INCOME &amp; BUDGET  —  Monthly cash-flow &amp; savings rate  →  Navigate to sheet: '💼 Income &amp; Budget'</t>
  </si>
  <si>
    <t xml:space="preserve">🏦  PENSION PLANNER  —  Retirement projections &amp; targets  →  Navigate to sheet: '🏦 Pension Planner'</t>
  </si>
  <si>
    <t xml:space="preserve">📊  NET WORTH  —  Assets minus liabilities snapshot  →  Navigate to sheet: '📊 Net Worth Tracker'</t>
  </si>
  <si>
    <t xml:space="preserve">🎯  GOALS TRACKER  —  Save towards specific targets  →  Navigate to sheet: '🎯 Savings Goals'</t>
  </si>
  <si>
    <t xml:space="preserve">📊  FINANCIAL SNAPSHOT  —  Key figures pulled from each calculator</t>
  </si>
  <si>
    <t xml:space="preserve">Total Debt Outstanding</t>
  </si>
  <si>
    <t xml:space="preserve">Monthly Disposable Income</t>
  </si>
  <si>
    <t xml:space="preserve">Annual Savings</t>
  </si>
  <si>
    <t xml:space="preserve">Savings Rate</t>
  </si>
  <si>
    <t xml:space="preserve">Projected Pension Pot at Retire</t>
  </si>
  <si>
    <t xml:space="preserve">Pension Target Gap</t>
  </si>
  <si>
    <t xml:space="preserve">Total Net Worth</t>
  </si>
  <si>
    <t xml:space="preserve">📋  USER GUIDE &amp; HOW-TO</t>
  </si>
  <si>
    <t xml:space="preserve">GETTING STARTED</t>
  </si>
  <si>
    <t xml:space="preserve">What is this file?</t>
  </si>
  <si>
    <t xml:space="preserve">A comprehensive personal finance toolkit with 6 calculators covering debt management, budgeting, pension planning, net worth tracking, and savings goals.</t>
  </si>
  <si>
    <t xml:space="preserve">Colour coding</t>
  </si>
  <si>
    <t xml:space="preserve">BLUE text = enter your own numbers here  |  BLACK text = automatically calculated  |  GOLD background = key results  |  GREEN text = linked from another sheet</t>
  </si>
  <si>
    <t xml:space="preserve">How to navigate</t>
  </si>
  <si>
    <t xml:space="preserve">Use the sheet tabs at the bottom of the screen. Start with '💼 Income &amp; Budget', then '💳 Debt Calculator', then '🏦 Pension Planner'. The Dashboard pulls everything together.</t>
  </si>
  <si>
    <t xml:space="preserve">Saving your work</t>
  </si>
  <si>
    <t xml:space="preserve">Press Ctrl+S (Windows) or Cmd+S (Mac). Save as .xlsx to preserve formulas. Never save as .csv.</t>
  </si>
  <si>
    <t xml:space="preserve">💳 DEBT CALCULATOR</t>
  </si>
  <si>
    <t xml:space="preserve">Step 1 — Enter your debts</t>
  </si>
  <si>
    <t xml:space="preserve">In the debt table, enter each debt name (e.g. 'Barclaycard'), the debt type from the dropdown, current balance, annual interest rate (APR), minimum monthly payment, and any extra amount you can afford to throw at debt each month.</t>
  </si>
  <si>
    <t xml:space="preserve">Step 2 — Review the priority order</t>
  </si>
  <si>
    <t xml:space="preserve">The calculator automatically ranks debts using the AVALANCHE method (highest interest rate first). This mathematically saves the most money in interest. An alternative 'Snowball' ranking (smallest balance first) is shown for psychological wins.</t>
  </si>
  <si>
    <t xml:space="preserve">Step 3 — Payoff projections</t>
  </si>
  <si>
    <t xml:space="preserve">See estimated months to payoff and total interest paid for each debt. The summary shows your total debt, monthly payments, and projected debt-free date.</t>
  </si>
  <si>
    <t xml:space="preserve">Avalanche vs Snowball</t>
  </si>
  <si>
    <t xml:space="preserve">AVALANCHE: Pay minimums on all debts; throw extra money at the highest-rate debt first. Saves the most interest. SNOWBALL: Pay minimums on all; throw extra at smallest balance first. Builds momentum and motivation. Both are valid — choose what keeps you committed.</t>
  </si>
  <si>
    <t xml:space="preserve">💼 INCOME &amp; BUDGET</t>
  </si>
  <si>
    <t xml:space="preserve">Step 1 — Enter income</t>
  </si>
  <si>
    <t xml:space="preserve">Enter all monthly income sources: salary (after tax / net), any freelance, rental, benefits, or other income. The calculator totals these automatically.</t>
  </si>
  <si>
    <t xml:space="preserve">Step 2 — Enter expenditure</t>
  </si>
  <si>
    <t xml:space="preserve">Work through each spending category. Be honest — use bank statements to check. Categories include housing, transport, food, utilities, subscriptions, personal, and debt payments.</t>
  </si>
  <si>
    <t xml:space="preserve">Step 3 — Review your budget</t>
  </si>
  <si>
    <t xml:space="preserve">The calculator shows your monthly surplus/deficit and savings rate. A savings rate above 20% is considered healthy. The budget split chart shows your spending breakdown.</t>
  </si>
  <si>
    <t xml:space="preserve">50/30/20 Rule</t>
  </si>
  <si>
    <t xml:space="preserve">A popular budgeting guideline: 50% of net income on NEEDS (rent, food, bills), 30% on WANTS (eating out, hobbies, subscriptions), 20% on SAVINGS &amp; DEBT REPAYMENT. Your actual split is shown automatically.</t>
  </si>
  <si>
    <t xml:space="preserve">🏦 PENSION PLANNER</t>
  </si>
  <si>
    <t xml:space="preserve">Step 1 — Enter your details</t>
  </si>
  <si>
    <t xml:space="preserve">Enter your current age, planned retirement age, current pension pot value, monthly employee contribution, and employer contribution percentage. Also enter your expected annual salary growth.</t>
  </si>
  <si>
    <t xml:space="preserve">Step 2 — Growth assumptions</t>
  </si>
  <si>
    <t xml:space="preserve">Enter an expected annual investment growth rate. Common assumptions: Conservative 4%, Moderate 6%, Optimistic 8%. These are real (inflation-adjusted) returns. The default is 6%.</t>
  </si>
  <si>
    <t xml:space="preserve">Step 3 — Set your target</t>
  </si>
  <si>
    <t xml:space="preserve">Enter your desired annual retirement income. The calculator uses the '25x rule' (multiply desired annual income by 25) to estimate the lump sum needed, then works out if your current contributions are on track.</t>
  </si>
  <si>
    <t xml:space="preserve">Understanding the gap</t>
  </si>
  <si>
    <t xml:space="preserve">If there is a gap between your projected pot and your target, the calculator shows the additional monthly contribution needed. It also shows the 4% safe withdrawal rate — the amount you can sustainably draw each year without running out of money.</t>
  </si>
  <si>
    <t xml:space="preserve">State Pension</t>
  </si>
  <si>
    <t xml:space="preserve">You can include an estimated State Pension amount. In 2024/25 the full new UK State Pension is approximately £11,502/year. Check your forecast at gov.uk/check-state-pension.</t>
  </si>
  <si>
    <t xml:space="preserve">📊 NET WORTH TRACKER</t>
  </si>
  <si>
    <t xml:space="preserve">What is net worth?</t>
  </si>
  <si>
    <t xml:space="preserve">Net Worth = Total Assets minus Total Liabilities. It is the single most important number in personal finance. Tracking it over time shows if you are building wealth.</t>
  </si>
  <si>
    <t xml:space="preserve">Step 1 — Enter assets</t>
  </si>
  <si>
    <t xml:space="preserve">List everything you own that has value: property (current market value), savings accounts, investments/ISAs, pension pots, vehicles, and other valuables.</t>
  </si>
  <si>
    <t xml:space="preserve">Step 2 — Enter liabilities</t>
  </si>
  <si>
    <t xml:space="preserve">List everything you owe: mortgage outstanding, personal loans, credit card balances, student loans, car finance, and any other debts.</t>
  </si>
  <si>
    <t xml:space="preserve">🎯 SAVINGS GOALS</t>
  </si>
  <si>
    <t xml:space="preserve">Setting a goal</t>
  </si>
  <si>
    <t xml:space="preserve">Enter a goal name (e.g. 'Emergency Fund', 'House Deposit', 'Holiday'), target amount, amount already saved, monthly contribution, and expected annual interest rate on savings.</t>
  </si>
  <si>
    <t xml:space="preserve">Reading results</t>
  </si>
  <si>
    <t xml:space="preserve">The calculator shows months to reach the goal, the target date, and total interest earned. Goals are colour-coded: GREEN = on track, AMBER = needs attention, RED = off track.</t>
  </si>
  <si>
    <t xml:space="preserve">Emergency Fund</t>
  </si>
  <si>
    <t xml:space="preserve">Financial advisors recommend saving 3–6 months of essential expenses as an emergency fund before aggressively investing. Enter your monthly essentials in the Income &amp; Budget sheet — the recommended emergency fund is calculated automatically.</t>
  </si>
  <si>
    <t xml:space="preserve">TIPS &amp; BEST PRACTICES</t>
  </si>
  <si>
    <t xml:space="preserve">Update monthly</t>
  </si>
  <si>
    <t xml:space="preserve">Set a recurring 'financial date' once a month — review each sheet, update balances, and check progress. 30 minutes a month can transform your finances.</t>
  </si>
  <si>
    <t xml:space="preserve">Debt first or invest?</t>
  </si>
  <si>
    <t xml:space="preserve">If your debts carry interest above ~5–6%, focus on repaying them before investing. Below that rate, consider investing alongside debt repayment. Pension contributions (especially with employer match) are almost always worth making.</t>
  </si>
  <si>
    <t xml:space="preserve">Disclaimer</t>
  </si>
  <si>
    <t xml:space="preserve">This tool provides estimates for educational purposes only. It does not constitute financial advice. For regulated financial advice, consult a qualified FCA-authorised adviser. Projections are based on assumptions that may not reflect actual future performance.</t>
  </si>
  <si>
    <t xml:space="preserve">💳  DEBT CALCULATOR &amp; PAYOFF PLANNER</t>
  </si>
  <si>
    <t xml:space="preserve">Enter each debt below — the calculator ranks them and shows the fastest payoff strategy</t>
  </si>
  <si>
    <t xml:space="preserve">💡  Extra monthly payment available (above all minimums):</t>
  </si>
  <si>
    <t xml:space="preserve">← Enter amount here</t>
  </si>
  <si>
    <t xml:space="preserve">#</t>
  </si>
  <si>
    <t xml:space="preserve">Debt Name</t>
  </si>
  <si>
    <t xml:space="preserve">Type</t>
  </si>
  <si>
    <t xml:space="preserve">Balance (£)</t>
  </si>
  <si>
    <t xml:space="preserve">APR (%)</t>
  </si>
  <si>
    <t xml:space="preserve">Min Monthly (£)</t>
  </si>
  <si>
    <t xml:space="preserve">Extra to Apply (£)</t>
  </si>
  <si>
    <t xml:space="preserve">Total Monthly (£)</t>
  </si>
  <si>
    <t xml:space="preserve">Months to Pay Off</t>
  </si>
  <si>
    <t xml:space="preserve">Total Interest (£)</t>
  </si>
  <si>
    <t xml:space="preserve">Avalanche Rank</t>
  </si>
  <si>
    <t xml:space="preserve">Your label</t>
  </si>
  <si>
    <t xml:space="preserve">From dropdown</t>
  </si>
  <si>
    <t xml:space="preserve">Current balance</t>
  </si>
  <si>
    <t xml:space="preserve">Annual rate</t>
  </si>
  <si>
    <t xml:space="preserve">Minimum required</t>
  </si>
  <si>
    <t xml:space="preserve">Calculated below</t>
  </si>
  <si>
    <t xml:space="preserve">Min + Extra</t>
  </si>
  <si>
    <t xml:space="preserve">Estimate</t>
  </si>
  <si>
    <t xml:space="preserve">1=highest priority</t>
  </si>
  <si>
    <t xml:space="preserve">Barclaycard</t>
  </si>
  <si>
    <t xml:space="preserve">Credit Card</t>
  </si>
  <si>
    <t xml:space="preserve">Car Loan</t>
  </si>
  <si>
    <t xml:space="preserve">Car Finance</t>
  </si>
  <si>
    <t xml:space="preserve">Personal Loan</t>
  </si>
  <si>
    <t xml:space="preserve">📊  DEBT SUMMARY</t>
  </si>
  <si>
    <t xml:space="preserve">💡  STRATEGY GUIDANCE</t>
  </si>
  <si>
    <t xml:space="preserve">🎯 AVALANCHE METHOD: Throw all extra cash at the HIGHEST APR debt (Column K Rank = 1) while paying minimums on all others. When paid off, move to Rank 2.</t>
  </si>
  <si>
    <t xml:space="preserve">Total Minimum Payments/mo</t>
  </si>
  <si>
    <t xml:space="preserve">❄️ SNOWBALL METHOD: Instead, target the SMALLEST BALANCE first for a quick win and motivational boost. Change column K sort to balance if preferred.</t>
  </si>
  <si>
    <t xml:space="preserve">Total Monthly Payments/mo</t>
  </si>
  <si>
    <t xml:space="preserve">⚠️ REVIEW: Any debt over 20% APR (e.g. credit cards) is a financial emergency. Prioritise paying these off before any discretionary saving.</t>
  </si>
  <si>
    <t xml:space="preserve">Total Interest to Pay</t>
  </si>
  <si>
    <t xml:space="preserve">💰 BALANCE TRANSFERS: If you have high-APR credit card debt and a good credit score, a 0% balance transfer could save significant interest while you pay it down.</t>
  </si>
  <si>
    <t xml:space="preserve">Highest APR Debt</t>
  </si>
  <si>
    <t xml:space="preserve">📞 DEBT HELP: If total debt feels unmanageable, contact StepChange (stepchange.org) or National Debtline — free, confidential advice.</t>
  </si>
  <si>
    <t xml:space="preserve">Months to Debt Free (est.)</t>
  </si>
  <si>
    <t xml:space="preserve">💼  MONTHLY INCOME, BUDGET &amp; SAVINGS CALCULATOR</t>
  </si>
  <si>
    <t xml:space="preserve">Enter your monthly figures  —  all amounts in £  —  blue cells are for your inputs</t>
  </si>
  <si>
    <t xml:space="preserve">💷  MONTHLY INCOME</t>
  </si>
  <si>
    <t xml:space="preserve">Net Salary / Wages (after tax &amp; NI)</t>
  </si>
  <si>
    <t xml:space="preserve">Self-Employment / Freelance Income</t>
  </si>
  <si>
    <t xml:space="preserve">Rental Income</t>
  </si>
  <si>
    <t xml:space="preserve">Universal Credit / Benefits</t>
  </si>
  <si>
    <t xml:space="preserve">Child Benefit</t>
  </si>
  <si>
    <t xml:space="preserve">Partner / Second Income</t>
  </si>
  <si>
    <t xml:space="preserve">Dividends / Investment Income</t>
  </si>
  <si>
    <t xml:space="preserve">Other Income</t>
  </si>
  <si>
    <t xml:space="preserve">TOTAL MONTHLY INCOME</t>
  </si>
  <si>
    <t xml:space="preserve">📤  MONTHLY EXPENDITURE</t>
  </si>
  <si>
    <t xml:space="preserve">🏠 HOUSING &amp; UTILITIES</t>
  </si>
  <si>
    <t xml:space="preserve">  Rent / Mortgage</t>
  </si>
  <si>
    <t xml:space="preserve">  Council Tax</t>
  </si>
  <si>
    <t xml:space="preserve">  Gas &amp; Electricity</t>
  </si>
  <si>
    <t xml:space="preserve">  Water</t>
  </si>
  <si>
    <t xml:space="preserve">  Home Insurance</t>
  </si>
  <si>
    <t xml:space="preserve">  TV Licence / Broadband / Phone</t>
  </si>
  <si>
    <t xml:space="preserve">🚗 TRANSPORT</t>
  </si>
  <si>
    <t xml:space="preserve">  Car Finance / Lease</t>
  </si>
  <si>
    <t xml:space="preserve">  Car Insurance</t>
  </si>
  <si>
    <t xml:space="preserve">  Fuel / Parking / Congestion</t>
  </si>
  <si>
    <t xml:space="preserve">  Public Transport</t>
  </si>
  <si>
    <t xml:space="preserve">🛒 FOOD &amp; HOUSEHOLD</t>
  </si>
  <si>
    <t xml:space="preserve">  Groceries</t>
  </si>
  <si>
    <t xml:space="preserve">  Eating Out / Takeaways</t>
  </si>
  <si>
    <t xml:space="preserve">  Household Supplies</t>
  </si>
  <si>
    <t xml:space="preserve">💊 HEALTH &amp; PERSONAL</t>
  </si>
  <si>
    <t xml:space="preserve">  Gym / Sports</t>
  </si>
  <si>
    <t xml:space="preserve">  Haircuts / Beauty</t>
  </si>
  <si>
    <t xml:space="preserve">  Healthcare / Prescriptions</t>
  </si>
  <si>
    <t xml:space="preserve">📱 SUBSCRIPTIONS &amp; LEISURE</t>
  </si>
  <si>
    <t xml:space="preserve">  Streaming Services (Netflix etc.)</t>
  </si>
  <si>
    <t xml:space="preserve">  Other Subscriptions</t>
  </si>
  <si>
    <t xml:space="preserve">  Hobbies &amp; Entertainment</t>
  </si>
  <si>
    <t xml:space="preserve">  Holidays / Travel</t>
  </si>
  <si>
    <t xml:space="preserve">👨‍👩‍👧 FAMILY &amp; PERSONAL</t>
  </si>
  <si>
    <t xml:space="preserve">  Childcare / School Fees</t>
  </si>
  <si>
    <t xml:space="preserve">  Pet Costs</t>
  </si>
  <si>
    <t xml:space="preserve">  Clothing &amp; Shoes</t>
  </si>
  <si>
    <t xml:space="preserve">  Gifts &amp; Charity</t>
  </si>
  <si>
    <t xml:space="preserve">💳 DEBT PAYMENTS</t>
  </si>
  <si>
    <t xml:space="preserve">  Total Debt Minimum Payments</t>
  </si>
  <si>
    <t xml:space="preserve">  Any Additional Debt Payments</t>
  </si>
  <si>
    <t xml:space="preserve">💰 SAVINGS &amp; INVESTMENTS</t>
  </si>
  <si>
    <t xml:space="preserve">  Pension Contributions (employee)</t>
  </si>
  <si>
    <t xml:space="preserve">  ISA / Savings</t>
  </si>
  <si>
    <t xml:space="preserve">  Other Investments</t>
  </si>
  <si>
    <t xml:space="preserve">TOTAL MONTHLY EXPENDITURE</t>
  </si>
  <si>
    <t xml:space="preserve">📊  MONTHLY BUDGET SUMMARY</t>
  </si>
  <si>
    <t xml:space="preserve">Total Monthly Income</t>
  </si>
  <si>
    <t xml:space="preserve">Total Monthly Expenditure</t>
  </si>
  <si>
    <t xml:space="preserve">Monthly Surplus / (Deficit)</t>
  </si>
  <si>
    <t xml:space="preserve">Annual Surplus / (Deficit)</t>
  </si>
  <si>
    <t xml:space="preserve">Recommended Emergency Fund (3 months essentials)</t>
  </si>
  <si>
    <t xml:space="preserve">🎯  50 / 30 / 20 BUDGET BREAKDOWN</t>
  </si>
  <si>
    <t xml:space="preserve">Category</t>
  </si>
  <si>
    <t xml:space="preserve">Monthly (£)</t>
  </si>
  <si>
    <t xml:space="preserve">Your %</t>
  </si>
  <si>
    <t xml:space="preserve">Target %</t>
  </si>
  <si>
    <t xml:space="preserve">NEEDS (housing, bills, transport, food)</t>
  </si>
  <si>
    <t xml:space="preserve">50%</t>
  </si>
  <si>
    <t xml:space="preserve">WANTS (leisure, dining, hobbies)</t>
  </si>
  <si>
    <t xml:space="preserve">30%</t>
  </si>
  <si>
    <t xml:space="preserve">SAVINGS &amp; DEBT REPAYMENT</t>
  </si>
  <si>
    <t xml:space="preserve">20%</t>
  </si>
  <si>
    <t xml:space="preserve">🏦  PENSION &amp; RETIREMENT PLANNER</t>
  </si>
  <si>
    <t xml:space="preserve">Project your pension pot, check if you're on track, and find how much more to contribute</t>
  </si>
  <si>
    <t xml:space="preserve">📋  YOUR DETAILS — Enter in blue cells</t>
  </si>
  <si>
    <t xml:space="preserve">Current Age</t>
  </si>
  <si>
    <t xml:space="preserve">← years</t>
  </si>
  <si>
    <t xml:space="preserve">Planned Retirement Age</t>
  </si>
  <si>
    <t xml:space="preserve">Current Pension Pot Value (£)</t>
  </si>
  <si>
    <t xml:space="preserve">Annual Gross Salary (£)</t>
  </si>
  <si>
    <t xml:space="preserve">Employee Pension Contribution (%)</t>
  </si>
  <si>
    <t xml:space="preserve">← of gross salary</t>
  </si>
  <si>
    <t xml:space="preserve">Employer Pension Contribution (%)</t>
  </si>
  <si>
    <t xml:space="preserve">Expected Annual Salary Growth (%)</t>
  </si>
  <si>
    <t xml:space="preserve">← per year (2% = inflation)</t>
  </si>
  <si>
    <t xml:space="preserve">Expected Annual Investment Return (%)</t>
  </si>
  <si>
    <t xml:space="preserve">← 6% = moderate growth</t>
  </si>
  <si>
    <t xml:space="preserve">Expected Annual Inflation (%)</t>
  </si>
  <si>
    <t xml:space="preserve">← for real-terms calc</t>
  </si>
  <si>
    <t xml:space="preserve">Annual State Pension (£)</t>
  </si>
  <si>
    <t xml:space="preserve">← check gov.uk/check-state-pension</t>
  </si>
  <si>
    <t xml:space="preserve">💰  MONTHLY CONTRIBUTIONS (Calculated)</t>
  </si>
  <si>
    <t xml:space="preserve">Employee Monthly Contribution (£)</t>
  </si>
  <si>
    <t xml:space="preserve">Employer Monthly Contribution (£)</t>
  </si>
  <si>
    <t xml:space="preserve">Total Monthly Pension Contribution (£)</t>
  </si>
  <si>
    <t xml:space="preserve">Years Until Retirement</t>
  </si>
  <si>
    <t xml:space="preserve">Months Until Retirement</t>
  </si>
  <si>
    <t xml:space="preserve">📈  PROJECTED PENSION POT AT RETIREMENT</t>
  </si>
  <si>
    <t xml:space="preserve">Growth on Existing Pension Pot (£)</t>
  </si>
  <si>
    <t xml:space="preserve">Future Value of New Contributions (£)</t>
  </si>
  <si>
    <t xml:space="preserve">PROJECTED TOTAL PENSION POT (£)</t>
  </si>
  <si>
    <t xml:space="preserve">4% Safe Withdrawal Rate — Annual (£)</t>
  </si>
  <si>
    <t xml:space="preserve">4% Safe Withdrawal Rate — Monthly (£)</t>
  </si>
  <si>
    <t xml:space="preserve">State Pension Annual (£)</t>
  </si>
  <si>
    <t xml:space="preserve">TOTAL ESTIMATED ANNUAL RETIREMENT INCOME</t>
  </si>
  <si>
    <t xml:space="preserve">🎯  RETIREMENT TARGET &amp; GAP ANALYSIS</t>
  </si>
  <si>
    <t xml:space="preserve">Desired Annual Retirement Income (£)</t>
  </si>
  <si>
    <t xml:space="preserve">Include State Pension in Target? (1=Yes, 0=No)</t>
  </si>
  <si>
    <t xml:space="preserve">Adjusted Target (ex State Pension if included)</t>
  </si>
  <si>
    <t xml:space="preserve">Lump Sum Needed (25x annual income — 4% rule)</t>
  </si>
  <si>
    <t xml:space="preserve">Projected Pot</t>
  </si>
  <si>
    <t xml:space="preserve">SURPLUS / (SHORTFALL) (£)</t>
  </si>
  <si>
    <t xml:space="preserve">On Track?</t>
  </si>
  <si>
    <t xml:space="preserve">Additional Monthly Contribution Needed</t>
  </si>
  <si>
    <t xml:space="preserve">📅  YEAR-BY-YEAR PENSION GROWTH PROJECTION</t>
  </si>
  <si>
    <t xml:space="preserve">Year</t>
  </si>
  <si>
    <t xml:space="preserve">Age</t>
  </si>
  <si>
    <t xml:space="preserve">Annual Contribution (£)</t>
  </si>
  <si>
    <t xml:space="preserve">Pot Start of Year (£)</t>
  </si>
  <si>
    <t xml:space="preserve">Investment Growth (£)</t>
  </si>
  <si>
    <t xml:space="preserve">Pot End of Year (£)</t>
  </si>
  <si>
    <t xml:space="preserve">Real Value (today's £)</t>
  </si>
  <si>
    <t xml:space="preserve">📊  NET WORTH TRACKER</t>
  </si>
  <si>
    <t xml:space="preserve">Assets − Liabilities = Net Worth  |  Update quarterly to track your wealth journey</t>
  </si>
  <si>
    <t xml:space="preserve">📈  ASSETS — What You Own</t>
  </si>
  <si>
    <t xml:space="preserve">🏠 Property</t>
  </si>
  <si>
    <t xml:space="preserve">  Primary Residence (market value)</t>
  </si>
  <si>
    <t xml:space="preserve">  Other Property / Buy-to-Let</t>
  </si>
  <si>
    <t xml:space="preserve">💰 Liquid Assets</t>
  </si>
  <si>
    <t xml:space="preserve">  Current Account(s)</t>
  </si>
  <si>
    <t xml:space="preserve">  Savings Account(s) / Cash ISA</t>
  </si>
  <si>
    <t xml:space="preserve">  Premium Bonds</t>
  </si>
  <si>
    <t xml:space="preserve">📈 Investments</t>
  </si>
  <si>
    <t xml:space="preserve">  Stocks &amp; Shares ISA</t>
  </si>
  <si>
    <t xml:space="preserve">  General Investment Account</t>
  </si>
  <si>
    <t xml:space="preserve">  Crypto / Alternative Investments</t>
  </si>
  <si>
    <t xml:space="preserve">🏦 Pension</t>
  </si>
  <si>
    <t xml:space="preserve">  Pension Pot (current value)</t>
  </si>
  <si>
    <t xml:space="preserve">🚗 Other Assets</t>
  </si>
  <si>
    <t xml:space="preserve">  Vehicle(s) (current value)</t>
  </si>
  <si>
    <t xml:space="preserve">  Valuable Possessions</t>
  </si>
  <si>
    <t xml:space="preserve">  Other</t>
  </si>
  <si>
    <t xml:space="preserve">TOTAL ASSETS</t>
  </si>
  <si>
    <t xml:space="preserve">📉  LIABILITIES — What You Owe</t>
  </si>
  <si>
    <t xml:space="preserve">🏠 Mortgage</t>
  </si>
  <si>
    <t xml:space="preserve">  Mortgage Outstanding</t>
  </si>
  <si>
    <t xml:space="preserve">💳 Consumer Debt</t>
  </si>
  <si>
    <t xml:space="preserve">  Credit Card Balances</t>
  </si>
  <si>
    <t xml:space="preserve">  Personal Loans</t>
  </si>
  <si>
    <t xml:space="preserve">  Car Finance</t>
  </si>
  <si>
    <t xml:space="preserve">  Buy Now Pay Later</t>
  </si>
  <si>
    <t xml:space="preserve">  Overdraft</t>
  </si>
  <si>
    <t xml:space="preserve">🎓 Student Finance</t>
  </si>
  <si>
    <t xml:space="preserve">  Student Loan Outstanding</t>
  </si>
  <si>
    <t xml:space="preserve">  Other Debts</t>
  </si>
  <si>
    <t xml:space="preserve">TOTAL LIABILITIES</t>
  </si>
  <si>
    <t xml:space="preserve">Total Assets</t>
  </si>
  <si>
    <t xml:space="preserve">Total Liabilities</t>
  </si>
  <si>
    <t xml:space="preserve">NET WORTH</t>
  </si>
  <si>
    <t xml:space="preserve">Debt-to-Asset Ratio</t>
  </si>
  <si>
    <t xml:space="preserve">Assets vs Liabilities</t>
  </si>
  <si>
    <t xml:space="preserve">🎯  SAVINGS GOALS TRACKER</t>
  </si>
  <si>
    <t xml:space="preserve">Track progress towards specific financial goals — emergency fund, house deposit, holiday &amp; more</t>
  </si>
  <si>
    <t xml:space="preserve">Goal Name</t>
  </si>
  <si>
    <t xml:space="preserve">Target Amount (£)</t>
  </si>
  <si>
    <t xml:space="preserve">Already Saved (£)</t>
  </si>
  <si>
    <t xml:space="preserve">Monthly Contribution (£)</t>
  </si>
  <si>
    <t xml:space="preserve">Interest Rate (%)</t>
  </si>
  <si>
    <t xml:space="preserve">Months to Achieve</t>
  </si>
  <si>
    <t xml:space="preserve">Target Date</t>
  </si>
  <si>
    <t xml:space="preserve">Progress %</t>
  </si>
  <si>
    <t xml:space="preserve">Status</t>
  </si>
  <si>
    <t xml:space="preserve">House Deposit</t>
  </si>
  <si>
    <t xml:space="preserve">New Car</t>
  </si>
  <si>
    <t xml:space="preserve">Holiday</t>
  </si>
  <si>
    <t xml:space="preserve">Wedding</t>
  </si>
  <si>
    <t xml:space="preserve">💡  TIPS &amp; RECOMMENDED TARGETS</t>
  </si>
  <si>
    <t xml:space="preserve">Recommended Emergency Fund</t>
  </si>
  <si>
    <t xml:space="preserve">This covers 3 months of expenses — aim for 6 months if self-employed or variable income</t>
  </si>
  <si>
    <t xml:space="preserve">Start with your emergency fund before all other savings goals — this is your financial safety net.</t>
  </si>
  <si>
    <t xml:space="preserve">Once emergency fund is complete, redirect contributions to highest-priority remaining goal.</t>
  </si>
</sst>
</file>

<file path=xl/styles.xml><?xml version="1.0" encoding="utf-8"?>
<styleSheet xmlns="http://schemas.openxmlformats.org/spreadsheetml/2006/main">
  <numFmts count="8">
    <numFmt numFmtId="164" formatCode="General"/>
    <numFmt numFmtId="165" formatCode="\£#,##0;&quot;(£&quot;#,##0\);\-"/>
    <numFmt numFmtId="166" formatCode="0.0%;\-0.0%;\-"/>
    <numFmt numFmtId="167" formatCode="0.00%"/>
    <numFmt numFmtId="168" formatCode="#,##0;\(#,##0\);\-"/>
    <numFmt numFmtId="169" formatCode="General"/>
    <numFmt numFmtId="170" formatCode="\£#,##0;&quot;(£&quot;#,##0\);\-"/>
    <numFmt numFmtId="171" formatCode="mmm\-yyyy"/>
  </numFmts>
  <fonts count="3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i val="true"/>
      <sz val="10"/>
      <color rgb="FFFFFFFF"/>
      <name val="Arial"/>
      <family val="0"/>
      <charset val="1"/>
    </font>
    <font>
      <b val="true"/>
      <sz val="11"/>
      <color rgb="FF1B2A4A"/>
      <name val="Arial"/>
      <family val="0"/>
      <charset val="1"/>
    </font>
    <font>
      <b val="true"/>
      <sz val="11"/>
      <color rgb="FFFFFFFF"/>
      <name val="Arial"/>
      <family val="0"/>
      <charset val="1"/>
    </font>
    <font>
      <b val="true"/>
      <sz val="12"/>
      <color rgb="FFFFFFFF"/>
      <name val="Arial"/>
      <family val="0"/>
      <charset val="1"/>
    </font>
    <font>
      <b val="true"/>
      <sz val="10"/>
      <color rgb="FF000000"/>
      <name val="Arial"/>
      <family val="0"/>
      <charset val="1"/>
    </font>
    <font>
      <b val="true"/>
      <sz val="11"/>
      <color rgb="FFC0392B"/>
      <name val="Arial"/>
      <family val="0"/>
      <charset val="1"/>
    </font>
    <font>
      <b val="true"/>
      <sz val="11"/>
      <color rgb="FF2980B9"/>
      <name val="Arial"/>
      <family val="0"/>
      <charset val="1"/>
    </font>
    <font>
      <b val="true"/>
      <sz val="11"/>
      <color rgb="FF27AE60"/>
      <name val="Arial"/>
      <family val="0"/>
      <charset val="1"/>
    </font>
    <font>
      <b val="true"/>
      <sz val="11"/>
      <color rgb="FF8E44AD"/>
      <name val="Arial"/>
      <family val="0"/>
      <charset val="1"/>
    </font>
    <font>
      <b val="true"/>
      <sz val="16"/>
      <color rgb="FFFFFFFF"/>
      <name val="Arial"/>
      <family val="0"/>
      <charset val="1"/>
    </font>
    <font>
      <b val="true"/>
      <sz val="10"/>
      <color rgb="FF1B2A4A"/>
      <name val="Arial"/>
      <family val="0"/>
      <charset val="1"/>
    </font>
    <font>
      <sz val="10"/>
      <color rgb="FF333333"/>
      <name val="Arial"/>
      <family val="0"/>
      <charset val="1"/>
    </font>
    <font>
      <b val="true"/>
      <sz val="14"/>
      <color rgb="FFFFFFFF"/>
      <name val="Arial"/>
      <family val="0"/>
      <charset val="1"/>
    </font>
    <font>
      <sz val="10"/>
      <color rgb="FFFFFFFF"/>
      <name val="Arial"/>
      <family val="0"/>
      <charset val="1"/>
    </font>
    <font>
      <sz val="10"/>
      <color rgb="FF0000FF"/>
      <name val="Arial"/>
      <family val="0"/>
      <charset val="1"/>
    </font>
    <font>
      <i val="true"/>
      <sz val="9"/>
      <color rgb="FF888888"/>
      <name val="Arial"/>
      <family val="0"/>
      <charset val="1"/>
    </font>
    <font>
      <b val="true"/>
      <sz val="10"/>
      <color rgb="FFFFFFFF"/>
      <name val="Arial"/>
      <family val="0"/>
      <charset val="1"/>
    </font>
    <font>
      <i val="true"/>
      <sz val="8"/>
      <color rgb="FF666666"/>
      <name val="Arial"/>
      <family val="0"/>
      <charset val="1"/>
    </font>
    <font>
      <sz val="10"/>
      <color rgb="FF000000"/>
      <name val="Arial"/>
      <family val="0"/>
      <charset val="1"/>
    </font>
    <font>
      <b val="true"/>
      <sz val="12"/>
      <color rgb="FF1B2A4A"/>
      <name val="Arial"/>
      <family val="0"/>
      <charset val="1"/>
    </font>
    <font>
      <b val="true"/>
      <sz val="11"/>
      <color rgb="FF000000"/>
      <name val="Arial"/>
      <family val="0"/>
      <charset val="1"/>
    </font>
    <font>
      <sz val="9"/>
      <color rgb="FF1B2A4A"/>
      <name val="Arial"/>
      <family val="0"/>
      <charset val="1"/>
    </font>
    <font>
      <sz val="10"/>
      <color rgb="FF008000"/>
      <name val="Arial"/>
      <family val="0"/>
      <charset val="1"/>
    </font>
    <font>
      <b val="true"/>
      <sz val="9"/>
      <color rgb="FFFFFFFF"/>
      <name val="Arial"/>
      <family val="0"/>
      <charset val="1"/>
    </font>
    <font>
      <b val="true"/>
      <sz val="12"/>
      <color rgb="FF000000"/>
      <name val="Arial"/>
      <family val="0"/>
      <charset val="1"/>
    </font>
    <font>
      <sz val="9"/>
      <name val="Arial"/>
      <family val="0"/>
      <charset val="1"/>
    </font>
    <font>
      <i val="true"/>
      <sz val="9"/>
      <color rgb="FF555555"/>
      <name val="Arial"/>
      <family val="0"/>
      <charset val="1"/>
    </font>
    <font>
      <b val="true"/>
      <sz val="12"/>
      <color rgb="FF27AE60"/>
      <name val="Arial"/>
      <family val="0"/>
      <charset val="1"/>
    </font>
    <font>
      <b val="true"/>
      <sz val="12"/>
      <color rgb="FFE74C3C"/>
      <name val="Arial"/>
      <family val="0"/>
      <charset val="1"/>
    </font>
    <font>
      <b val="true"/>
      <sz val="11"/>
      <color rgb="FFE74C3C"/>
      <name val="Arial"/>
      <family val="0"/>
      <charset val="1"/>
    </font>
    <font>
      <b val="true"/>
      <sz val="11"/>
      <color rgb="FF888888"/>
      <name val="Arial"/>
      <family val="0"/>
      <charset val="1"/>
    </font>
    <font>
      <sz val="10"/>
      <color rgb="FF1B2A4A"/>
      <name val="Arial"/>
      <family val="0"/>
      <charset val="1"/>
    </font>
  </fonts>
  <fills count="19">
    <fill>
      <patternFill patternType="none"/>
    </fill>
    <fill>
      <patternFill patternType="gray125"/>
    </fill>
    <fill>
      <patternFill patternType="solid">
        <fgColor rgb="FF1B2A4A"/>
        <bgColor rgb="FF333333"/>
      </patternFill>
    </fill>
    <fill>
      <patternFill patternType="solid">
        <fgColor rgb="FF2E4272"/>
        <bgColor rgb="FF3D566E"/>
      </patternFill>
    </fill>
    <fill>
      <patternFill patternType="solid">
        <fgColor rgb="FFC9A84C"/>
        <bgColor rgb="FFF39C12"/>
      </patternFill>
    </fill>
    <fill>
      <patternFill patternType="solid">
        <fgColor rgb="FFC0392B"/>
        <bgColor rgb="FFE74C3C"/>
      </patternFill>
    </fill>
    <fill>
      <patternFill patternType="solid">
        <fgColor rgb="FF2980B9"/>
        <bgColor rgb="FF0066CC"/>
      </patternFill>
    </fill>
    <fill>
      <patternFill patternType="solid">
        <fgColor rgb="FF27AE60"/>
        <bgColor rgb="FF33CCCC"/>
      </patternFill>
    </fill>
    <fill>
      <patternFill patternType="solid">
        <fgColor rgb="FF8E44AD"/>
        <bgColor rgb="FF993366"/>
      </patternFill>
    </fill>
    <fill>
      <patternFill patternType="solid">
        <fgColor rgb="FFF39C12"/>
        <bgColor rgb="FFC9A84C"/>
      </patternFill>
    </fill>
    <fill>
      <patternFill patternType="solid">
        <fgColor rgb="FFF5F5F5"/>
        <bgColor rgb="FFEBF3FB"/>
      </patternFill>
    </fill>
    <fill>
      <patternFill patternType="solid">
        <fgColor rgb="FFD9E8F5"/>
        <bgColor rgb="FFEEEEEE"/>
      </patternFill>
    </fill>
    <fill>
      <patternFill patternType="solid">
        <fgColor rgb="FFEBF3FB"/>
        <bgColor rgb="FFEAF4FF"/>
      </patternFill>
    </fill>
    <fill>
      <patternFill patternType="solid">
        <fgColor rgb="FFEEEEEE"/>
        <bgColor rgb="FFEBF3FB"/>
      </patternFill>
    </fill>
    <fill>
      <patternFill patternType="solid">
        <fgColor rgb="FFFFF3CD"/>
        <bgColor rgb="FFFDECEA"/>
      </patternFill>
    </fill>
    <fill>
      <patternFill patternType="solid">
        <fgColor rgb="FF3D566E"/>
        <bgColor rgb="FF555555"/>
      </patternFill>
    </fill>
    <fill>
      <patternFill patternType="solid">
        <fgColor rgb="FFE9F7EF"/>
        <bgColor rgb="FFEBF3FB"/>
      </patternFill>
    </fill>
    <fill>
      <patternFill patternType="solid">
        <fgColor rgb="FFEAF4FF"/>
        <bgColor rgb="FFEBF3FB"/>
      </patternFill>
    </fill>
    <fill>
      <patternFill patternType="solid">
        <fgColor rgb="FFFDECEA"/>
        <bgColor rgb="FFEEEEEE"/>
      </patternFill>
    </fill>
  </fills>
  <borders count="5">
    <border diagonalUp="false" diagonalDown="false">
      <left/>
      <right/>
      <top/>
      <bottom/>
      <diagonal/>
    </border>
    <border diagonalUp="false" diagonalDown="false">
      <left style="medium"/>
      <right/>
      <top style="medium"/>
      <bottom/>
      <diagonal/>
    </border>
    <border diagonalUp="false" diagonalDown="false">
      <left style="thin"/>
      <right/>
      <top style="thin"/>
      <bottom style="thin"/>
      <diagonal/>
    </border>
    <border diagonalUp="false" diagonalDown="false">
      <left style="thin"/>
      <right style="thin"/>
      <top style="thin"/>
      <bottom style="thin"/>
      <diagonal/>
    </border>
    <border diagonalUp="false" diagonalDown="false">
      <left style="medium"/>
      <right style="medium"/>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3" borderId="0"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left" vertical="center" textRotation="0" wrapText="false" indent="2" shrinkToFit="false"/>
      <protection locked="true" hidden="false"/>
    </xf>
    <xf numFmtId="164" fontId="7" fillId="5" borderId="1" xfId="0" applyFont="true" applyBorder="true" applyAlignment="true" applyProtection="false">
      <alignment horizontal="left" vertical="center" textRotation="0" wrapText="false" indent="2" shrinkToFit="false"/>
      <protection locked="true" hidden="false"/>
    </xf>
    <xf numFmtId="164" fontId="7" fillId="6" borderId="1" xfId="0" applyFont="true" applyBorder="true" applyAlignment="true" applyProtection="false">
      <alignment horizontal="left" vertical="center" textRotation="0" wrapText="false" indent="2" shrinkToFit="false"/>
      <protection locked="true" hidden="false"/>
    </xf>
    <xf numFmtId="164" fontId="7" fillId="7" borderId="1" xfId="0" applyFont="true" applyBorder="true" applyAlignment="true" applyProtection="false">
      <alignment horizontal="left" vertical="center" textRotation="0" wrapText="false" indent="2" shrinkToFit="false"/>
      <protection locked="true" hidden="false"/>
    </xf>
    <xf numFmtId="164" fontId="7" fillId="8" borderId="1" xfId="0" applyFont="true" applyBorder="true" applyAlignment="true" applyProtection="false">
      <alignment horizontal="left" vertical="center" textRotation="0" wrapText="false" indent="2" shrinkToFit="false"/>
      <protection locked="true" hidden="false"/>
    </xf>
    <xf numFmtId="164" fontId="6" fillId="9" borderId="1" xfId="0" applyFont="true" applyBorder="true" applyAlignment="true" applyProtection="false">
      <alignment horizontal="left" vertical="center" textRotation="0" wrapText="false" indent="2" shrinkToFit="false"/>
      <protection locked="true" hidden="false"/>
    </xf>
    <xf numFmtId="164" fontId="8" fillId="3" borderId="2" xfId="0" applyFont="true" applyBorder="tru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left" vertical="center" textRotation="0" wrapText="true" indent="0" shrinkToFit="false"/>
      <protection locked="true" hidden="false"/>
    </xf>
    <xf numFmtId="165" fontId="10" fillId="10" borderId="4" xfId="0" applyFont="true" applyBorder="true" applyAlignment="true" applyProtection="false">
      <alignment horizontal="right" vertical="center" textRotation="0" wrapText="false" indent="0" shrinkToFit="false"/>
      <protection locked="true" hidden="false"/>
    </xf>
    <xf numFmtId="165" fontId="11" fillId="10" borderId="4" xfId="0" applyFont="true" applyBorder="true" applyAlignment="true" applyProtection="false">
      <alignment horizontal="right" vertical="center" textRotation="0" wrapText="false" indent="0" shrinkToFit="false"/>
      <protection locked="true" hidden="false"/>
    </xf>
    <xf numFmtId="166" fontId="11" fillId="10" borderId="4" xfId="0" applyFont="true" applyBorder="true" applyAlignment="true" applyProtection="false">
      <alignment horizontal="right" vertical="center" textRotation="0" wrapText="false" indent="0" shrinkToFit="false"/>
      <protection locked="true" hidden="false"/>
    </xf>
    <xf numFmtId="165" fontId="12" fillId="10" borderId="4" xfId="0" applyFont="true" applyBorder="true" applyAlignment="true" applyProtection="false">
      <alignment horizontal="right" vertical="center" textRotation="0" wrapText="false" indent="0" shrinkToFit="false"/>
      <protection locked="true" hidden="false"/>
    </xf>
    <xf numFmtId="165" fontId="13" fillId="10" borderId="4" xfId="0" applyFont="true" applyBorder="true" applyAlignment="true" applyProtection="false">
      <alignment horizontal="right" vertical="center" textRotation="0" wrapText="false" indent="0" shrinkToFit="false"/>
      <protection locked="true" hidden="false"/>
    </xf>
    <xf numFmtId="164" fontId="14" fillId="2" borderId="0" xfId="0" applyFont="true" applyBorder="true" applyAlignment="true" applyProtection="false">
      <alignment horizontal="center" vertical="center" textRotation="0" wrapText="false" indent="0" shrinkToFit="false"/>
      <protection locked="true" hidden="false"/>
    </xf>
    <xf numFmtId="164" fontId="7" fillId="3" borderId="2" xfId="0" applyFont="true" applyBorder="true" applyAlignment="true" applyProtection="false">
      <alignment horizontal="left" vertical="center" textRotation="0" wrapText="true" indent="0" shrinkToFit="false"/>
      <protection locked="true" hidden="false"/>
    </xf>
    <xf numFmtId="164" fontId="15" fillId="11" borderId="3" xfId="0" applyFont="true" applyBorder="true" applyAlignment="true" applyProtection="false">
      <alignment horizontal="left" vertical="top" textRotation="0" wrapText="true" indent="0" shrinkToFit="false"/>
      <protection locked="true" hidden="false"/>
    </xf>
    <xf numFmtId="164" fontId="16" fillId="0" borderId="3" xfId="0" applyFont="true" applyBorder="true" applyAlignment="true" applyProtection="false">
      <alignment horizontal="left" vertical="top" textRotation="0" wrapText="true" indent="0" shrinkToFit="false"/>
      <protection locked="true" hidden="false"/>
    </xf>
    <xf numFmtId="164" fontId="17" fillId="2" borderId="2" xfId="0" applyFont="true" applyBorder="true" applyAlignment="true" applyProtection="false">
      <alignment horizontal="center" vertical="center" textRotation="0" wrapText="true" indent="0" shrinkToFit="false"/>
      <protection locked="true" hidden="false"/>
    </xf>
    <xf numFmtId="164" fontId="18" fillId="3" borderId="2"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true" applyAlignment="true" applyProtection="false">
      <alignment horizontal="left" vertical="center" textRotation="0" wrapText="false" indent="0" shrinkToFit="false"/>
      <protection locked="true" hidden="false"/>
    </xf>
    <xf numFmtId="165" fontId="19" fillId="12" borderId="3" xfId="0" applyFont="true" applyBorder="true" applyAlignment="true" applyProtection="false">
      <alignment horizontal="right" vertical="center"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1" fillId="2" borderId="3" xfId="0" applyFont="true" applyBorder="true" applyAlignment="true" applyProtection="false">
      <alignment horizontal="center" vertical="center" textRotation="0" wrapText="true" indent="0" shrinkToFit="false"/>
      <protection locked="true" hidden="false"/>
    </xf>
    <xf numFmtId="164" fontId="22" fillId="13" borderId="3" xfId="0" applyFont="true" applyBorder="true" applyAlignment="true" applyProtection="false">
      <alignment horizontal="center" vertical="center" textRotation="0" wrapText="false" indent="0" shrinkToFit="false"/>
      <protection locked="true" hidden="false"/>
    </xf>
    <xf numFmtId="164" fontId="9" fillId="0" borderId="3" xfId="0" applyFont="true" applyBorder="true" applyAlignment="true" applyProtection="false">
      <alignment horizontal="center" vertical="center" textRotation="0" wrapText="false" indent="0" shrinkToFit="false"/>
      <protection locked="true" hidden="false"/>
    </xf>
    <xf numFmtId="164" fontId="19" fillId="12" borderId="3" xfId="0" applyFont="true" applyBorder="true" applyAlignment="true" applyProtection="false">
      <alignment horizontal="right" vertical="center" textRotation="0" wrapText="false" indent="0" shrinkToFit="false"/>
      <protection locked="true" hidden="false"/>
    </xf>
    <xf numFmtId="167" fontId="19" fillId="12" borderId="3" xfId="0" applyFont="true" applyBorder="true" applyAlignment="true" applyProtection="false">
      <alignment horizontal="right" vertical="center" textRotation="0" wrapText="false" indent="0" shrinkToFit="false"/>
      <protection locked="true" hidden="false"/>
    </xf>
    <xf numFmtId="165" fontId="23" fillId="10" borderId="3" xfId="0" applyFont="true" applyBorder="true" applyAlignment="true" applyProtection="false">
      <alignment horizontal="right" vertical="center" textRotation="0" wrapText="false" indent="0" shrinkToFit="false"/>
      <protection locked="true" hidden="false"/>
    </xf>
    <xf numFmtId="168" fontId="23" fillId="10" borderId="3" xfId="0" applyFont="true" applyBorder="true" applyAlignment="true" applyProtection="false">
      <alignment horizontal="right" vertical="center" textRotation="0" wrapText="false" indent="0" shrinkToFit="false"/>
      <protection locked="true" hidden="false"/>
    </xf>
    <xf numFmtId="169" fontId="23" fillId="10" borderId="3" xfId="0" applyFont="true" applyBorder="true" applyAlignment="true" applyProtection="false">
      <alignment horizontal="center" vertical="center" textRotation="0" wrapText="false" indent="0" shrinkToFit="false"/>
      <protection locked="true" hidden="false"/>
    </xf>
    <xf numFmtId="164" fontId="24" fillId="4" borderId="2" xfId="0" applyFont="true" applyBorder="true" applyAlignment="true" applyProtection="false">
      <alignment horizontal="center" vertical="center" textRotation="0" wrapText="true" indent="0" shrinkToFit="false"/>
      <protection locked="true" hidden="false"/>
    </xf>
    <xf numFmtId="165" fontId="25" fillId="14" borderId="4" xfId="0" applyFont="true" applyBorder="true" applyAlignment="true" applyProtection="false">
      <alignment horizontal="right" vertical="center" textRotation="0" wrapText="false" indent="0" shrinkToFit="false"/>
      <protection locked="true" hidden="false"/>
    </xf>
    <xf numFmtId="164" fontId="26" fillId="14" borderId="3" xfId="0" applyFont="true" applyBorder="true" applyAlignment="true" applyProtection="false">
      <alignment horizontal="left" vertical="center" textRotation="0" wrapText="true" indent="0" shrinkToFit="false"/>
      <protection locked="true" hidden="false"/>
    </xf>
    <xf numFmtId="164" fontId="25" fillId="14" borderId="4" xfId="0" applyFont="true" applyBorder="true" applyAlignment="true" applyProtection="false">
      <alignment horizontal="right" vertical="center" textRotation="0" wrapText="false" indent="0" shrinkToFit="false"/>
      <protection locked="true" hidden="false"/>
    </xf>
    <xf numFmtId="168" fontId="25" fillId="14" borderId="4" xfId="0" applyFont="true" applyBorder="true" applyAlignment="true" applyProtection="false">
      <alignment horizontal="right" vertical="center"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64" fontId="8" fillId="6" borderId="2" xfId="0" applyFont="true" applyBorder="true" applyAlignment="true" applyProtection="false">
      <alignment horizontal="center" vertical="center" textRotation="0" wrapText="true" indent="0" shrinkToFit="false"/>
      <protection locked="true" hidden="false"/>
    </xf>
    <xf numFmtId="164" fontId="23" fillId="0" borderId="3" xfId="0" applyFont="true" applyBorder="true" applyAlignment="true" applyProtection="false">
      <alignment horizontal="left" vertical="center" textRotation="0" wrapText="true" indent="0" shrinkToFit="false"/>
      <protection locked="true" hidden="false"/>
    </xf>
    <xf numFmtId="164" fontId="8" fillId="5" borderId="2" xfId="0" applyFont="true" applyBorder="true" applyAlignment="true" applyProtection="false">
      <alignment horizontal="center" vertical="center" textRotation="0" wrapText="true" indent="0" shrinkToFit="false"/>
      <protection locked="true" hidden="false"/>
    </xf>
    <xf numFmtId="164" fontId="21" fillId="15" borderId="3" xfId="0" applyFont="true" applyBorder="true" applyAlignment="true" applyProtection="false">
      <alignment horizontal="left" vertical="center" textRotation="0" wrapText="true" indent="0" shrinkToFit="false"/>
      <protection locked="true" hidden="false"/>
    </xf>
    <xf numFmtId="164" fontId="23" fillId="0" borderId="3" xfId="0" applyFont="true" applyBorder="true" applyAlignment="true" applyProtection="false">
      <alignment horizontal="left" vertical="center" textRotation="0" wrapText="true" indent="1" shrinkToFit="false"/>
      <protection locked="true" hidden="false"/>
    </xf>
    <xf numFmtId="165" fontId="27" fillId="16" borderId="3" xfId="0" applyFont="true" applyBorder="true" applyAlignment="true" applyProtection="false">
      <alignment horizontal="right" vertical="center" textRotation="0" wrapText="false" indent="0" shrinkToFit="false"/>
      <protection locked="true" hidden="false"/>
    </xf>
    <xf numFmtId="166" fontId="0" fillId="0" borderId="0" xfId="0" applyFont="false" applyBorder="false" applyAlignment="true" applyProtection="false">
      <alignment horizontal="general" vertical="bottom" textRotation="0" wrapText="false" indent="0" shrinkToFit="false"/>
      <protection locked="true" hidden="false"/>
    </xf>
    <xf numFmtId="165" fontId="25" fillId="14" borderId="4" xfId="0" applyFont="true" applyBorder="true" applyAlignment="true" applyProtection="false">
      <alignment horizontal="general" vertical="bottom" textRotation="0" wrapText="false" indent="0" shrinkToFit="false"/>
      <protection locked="true" hidden="false"/>
    </xf>
    <xf numFmtId="166" fontId="25" fillId="14" borderId="4" xfId="0" applyFont="true" applyBorder="true" applyAlignment="true" applyProtection="false">
      <alignment horizontal="general" vertical="bottom" textRotation="0" wrapText="false" indent="0" shrinkToFit="false"/>
      <protection locked="true" hidden="false"/>
    </xf>
    <xf numFmtId="164" fontId="28" fillId="15" borderId="3" xfId="0" applyFont="true" applyBorder="true" applyAlignment="true" applyProtection="false">
      <alignment horizontal="center" vertical="center" textRotation="0" wrapText="true" indent="0" shrinkToFit="false"/>
      <protection locked="true" hidden="false"/>
    </xf>
    <xf numFmtId="166" fontId="23" fillId="10" borderId="3" xfId="0" applyFont="true" applyBorder="true" applyAlignment="true" applyProtection="false">
      <alignment horizontal="right" vertical="center" textRotation="0" wrapText="false" indent="0" shrinkToFit="false"/>
      <protection locked="true" hidden="false"/>
    </xf>
    <xf numFmtId="164" fontId="15" fillId="0" borderId="3" xfId="0" applyFont="true" applyBorder="true" applyAlignment="true" applyProtection="false">
      <alignment horizontal="center" vertical="center" textRotation="0" wrapText="false" indent="0" shrinkToFit="false"/>
      <protection locked="true" hidden="false"/>
    </xf>
    <xf numFmtId="168" fontId="19" fillId="12" borderId="3" xfId="0" applyFont="true" applyBorder="true" applyAlignment="true" applyProtection="false">
      <alignment horizontal="right" vertical="center"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0" shrinkToFit="false"/>
      <protection locked="true" hidden="false"/>
    </xf>
    <xf numFmtId="166" fontId="19" fillId="12" borderId="3" xfId="0" applyFont="true" applyBorder="true" applyAlignment="true" applyProtection="false">
      <alignment horizontal="right" vertical="center" textRotation="0" wrapText="false" indent="0" shrinkToFit="false"/>
      <protection locked="true" hidden="false"/>
    </xf>
    <xf numFmtId="170" fontId="19" fillId="12" borderId="3" xfId="0" applyFont="true" applyBorder="true" applyAlignment="true" applyProtection="false">
      <alignment horizontal="right" vertical="center" textRotation="0" wrapText="false" indent="0" shrinkToFit="false"/>
      <protection locked="true" hidden="false"/>
    </xf>
    <xf numFmtId="164" fontId="8" fillId="7" borderId="2" xfId="0" applyFont="true" applyBorder="true" applyAlignment="true" applyProtection="false">
      <alignment horizontal="center" vertical="center" textRotation="0" wrapText="true" indent="0" shrinkToFit="false"/>
      <protection locked="true" hidden="false"/>
    </xf>
    <xf numFmtId="165" fontId="29" fillId="14" borderId="4" xfId="0" applyFont="true" applyBorder="true" applyAlignment="true" applyProtection="false">
      <alignment horizontal="right" vertical="center" textRotation="0" wrapText="false" indent="0" shrinkToFit="false"/>
      <protection locked="true" hidden="false"/>
    </xf>
    <xf numFmtId="164" fontId="25" fillId="14" borderId="4" xfId="0" applyFont="true" applyBorder="true" applyAlignment="true" applyProtection="false">
      <alignment horizontal="center" vertical="center" textRotation="0" wrapText="false" indent="0" shrinkToFit="false"/>
      <protection locked="true" hidden="false"/>
    </xf>
    <xf numFmtId="164" fontId="30" fillId="0" borderId="0" xfId="0" applyFont="true" applyBorder="false" applyAlignment="true" applyProtection="false">
      <alignment horizontal="center" vertical="bottom" textRotation="0" wrapText="false" indent="0" shrinkToFit="false"/>
      <protection locked="true" hidden="false"/>
    </xf>
    <xf numFmtId="168" fontId="30" fillId="0" borderId="0" xfId="0" applyFont="true" applyBorder="false" applyAlignment="true" applyProtection="false">
      <alignment horizontal="center" vertical="bottom" textRotation="0" wrapText="false" indent="0" shrinkToFit="false"/>
      <protection locked="true" hidden="false"/>
    </xf>
    <xf numFmtId="165" fontId="30" fillId="0" borderId="0" xfId="0" applyFont="true" applyBorder="false" applyAlignment="true" applyProtection="false">
      <alignment horizontal="right" vertical="bottom" textRotation="0" wrapText="false" indent="0" shrinkToFit="false"/>
      <protection locked="true" hidden="false"/>
    </xf>
    <xf numFmtId="165" fontId="30" fillId="17" borderId="0" xfId="0" applyFont="true" applyBorder="false" applyAlignment="true" applyProtection="false">
      <alignment horizontal="right" vertical="bottom" textRotation="0" wrapText="false" indent="0" shrinkToFit="false"/>
      <protection locked="true" hidden="false"/>
    </xf>
    <xf numFmtId="165" fontId="31" fillId="0" borderId="0" xfId="0" applyFont="true" applyBorder="false" applyAlignment="true" applyProtection="false">
      <alignment horizontal="right" vertical="bottom" textRotation="0" wrapText="false" indent="0" shrinkToFit="false"/>
      <protection locked="true" hidden="false"/>
    </xf>
    <xf numFmtId="165" fontId="30" fillId="0" borderId="0" xfId="0" applyFont="true" applyBorder="false" applyAlignment="true" applyProtection="false">
      <alignment horizontal="center" vertical="bottom" textRotation="0" wrapText="false" indent="0" shrinkToFit="false"/>
      <protection locked="true" hidden="false"/>
    </xf>
    <xf numFmtId="165" fontId="32" fillId="16" borderId="4" xfId="0" applyFont="true" applyBorder="true" applyAlignment="true" applyProtection="false">
      <alignment horizontal="right" vertical="center" textRotation="0" wrapText="false" indent="0" shrinkToFit="false"/>
      <protection locked="true" hidden="false"/>
    </xf>
    <xf numFmtId="165" fontId="33" fillId="18" borderId="4" xfId="0" applyFont="true" applyBorder="true" applyAlignment="true" applyProtection="false">
      <alignment horizontal="right" vertical="center" textRotation="0" wrapText="false" indent="0" shrinkToFit="false"/>
      <protection locked="true" hidden="false"/>
    </xf>
    <xf numFmtId="165" fontId="8" fillId="3" borderId="2" xfId="0" applyFont="true" applyBorder="true" applyAlignment="true" applyProtection="false">
      <alignment horizontal="center" vertical="center" textRotation="0" wrapText="true" indent="0" shrinkToFit="false"/>
      <protection locked="true" hidden="false"/>
    </xf>
    <xf numFmtId="165" fontId="34" fillId="10" borderId="4" xfId="0" applyFont="true" applyBorder="true" applyAlignment="true" applyProtection="false">
      <alignment horizontal="right" vertical="center" textRotation="0" wrapText="false" indent="0" shrinkToFit="false"/>
      <protection locked="true" hidden="false"/>
    </xf>
    <xf numFmtId="165" fontId="24" fillId="14" borderId="4" xfId="0" applyFont="true" applyBorder="true" applyAlignment="true" applyProtection="false">
      <alignment horizontal="right" vertical="center" textRotation="0" wrapText="false" indent="0" shrinkToFit="false"/>
      <protection locked="true" hidden="false"/>
    </xf>
    <xf numFmtId="166" fontId="35" fillId="10" borderId="4" xfId="0" applyFont="true" applyBorder="true" applyAlignment="true" applyProtection="false">
      <alignment horizontal="right" vertical="center" textRotation="0" wrapText="false" indent="0" shrinkToFit="false"/>
      <protection locked="true" hidden="false"/>
    </xf>
    <xf numFmtId="164" fontId="6" fillId="10" borderId="4" xfId="0" applyFont="true" applyBorder="true" applyAlignment="true" applyProtection="false">
      <alignment horizontal="center" vertical="center" textRotation="0" wrapText="false" indent="0" shrinkToFit="false"/>
      <protection locked="true" hidden="false"/>
    </xf>
    <xf numFmtId="164" fontId="0" fillId="0" borderId="3" xfId="0" applyFont="false" applyBorder="true" applyAlignment="true" applyProtection="false">
      <alignment horizontal="center" vertical="center" textRotation="0" wrapText="false" indent="0" shrinkToFit="false"/>
      <protection locked="true" hidden="false"/>
    </xf>
    <xf numFmtId="171" fontId="23" fillId="10" borderId="3" xfId="0" applyFont="true" applyBorder="true" applyAlignment="true" applyProtection="false">
      <alignment horizontal="right" vertical="center" textRotation="0" wrapText="false" indent="0" shrinkToFit="false"/>
      <protection locked="true" hidden="false"/>
    </xf>
    <xf numFmtId="164" fontId="15" fillId="14" borderId="3" xfId="0" applyFont="true" applyBorder="true" applyAlignment="true" applyProtection="false">
      <alignment horizontal="left" vertical="center" textRotation="0" wrapText="true" indent="0" shrinkToFit="false"/>
      <protection locked="true" hidden="false"/>
    </xf>
    <xf numFmtId="165" fontId="6" fillId="14" borderId="4" xfId="0" applyFont="true" applyBorder="true" applyAlignment="true" applyProtection="false">
      <alignment horizontal="right" vertical="center" textRotation="0" wrapText="false" indent="0" shrinkToFit="false"/>
      <protection locked="true" hidden="false"/>
    </xf>
    <xf numFmtId="164" fontId="36" fillId="14" borderId="3"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980B9"/>
      <rgbColor rgb="FFF5F5F5"/>
      <rgbColor rgb="FF888888"/>
      <rgbColor rgb="FF9999FF"/>
      <rgbColor rgb="FF8E44AD"/>
      <rgbColor rgb="FFFFF3CD"/>
      <rgbColor rgb="FFE9F7EF"/>
      <rgbColor rgb="FF660066"/>
      <rgbColor rgb="FFFF8080"/>
      <rgbColor rgb="FF0066CC"/>
      <rgbColor rgb="FFD9E8F5"/>
      <rgbColor rgb="FF000080"/>
      <rgbColor rgb="FFFF00FF"/>
      <rgbColor rgb="FFFFFF00"/>
      <rgbColor rgb="FF00FFFF"/>
      <rgbColor rgb="FF800080"/>
      <rgbColor rgb="FF800000"/>
      <rgbColor rgb="FF3D566E"/>
      <rgbColor rgb="FF0000FF"/>
      <rgbColor rgb="FF00CCFF"/>
      <rgbColor rgb="FFEAF4FF"/>
      <rgbColor rgb="FFEBF3FB"/>
      <rgbColor rgb="FFFDECEA"/>
      <rgbColor rgb="FF99CCFF"/>
      <rgbColor rgb="FFFF99CC"/>
      <rgbColor rgb="FFCC99FF"/>
      <rgbColor rgb="FFEEEEEE"/>
      <rgbColor rgb="FF3366FF"/>
      <rgbColor rgb="FF33CCCC"/>
      <rgbColor rgb="FF99CC00"/>
      <rgbColor rgb="FFFFCC00"/>
      <rgbColor rgb="FFF39C12"/>
      <rgbColor rgb="FFE74C3C"/>
      <rgbColor rgb="FF666666"/>
      <rgbColor rgb="FFC9A84C"/>
      <rgbColor rgb="FF1B2A4A"/>
      <rgbColor rgb="FF27AE60"/>
      <rgbColor rgb="FF003300"/>
      <rgbColor rgb="FF555555"/>
      <rgbColor rgb="FFC0392B"/>
      <rgbColor rgb="FF993366"/>
      <rgbColor rgb="FF2E4272"/>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B2A4A"/>
    <pageSetUpPr fitToPage="false"/>
  </sheetPr>
  <dimension ref="A1:H3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8" min="1" style="1" width="20"/>
  </cols>
  <sheetData>
    <row r="1" customFormat="false" ht="39.75" hidden="false" customHeight="true" outlineLevel="0" collapsed="false">
      <c r="A1" s="2" t="s">
        <v>0</v>
      </c>
      <c r="B1" s="2"/>
      <c r="C1" s="2"/>
      <c r="D1" s="2"/>
      <c r="E1" s="2"/>
      <c r="F1" s="2"/>
      <c r="G1" s="2"/>
      <c r="H1" s="2"/>
    </row>
    <row r="2" customFormat="false" ht="18" hidden="false" customHeight="true" outlineLevel="0" collapsed="false">
      <c r="A2" s="3" t="s">
        <v>1</v>
      </c>
      <c r="B2" s="3"/>
      <c r="C2" s="3"/>
      <c r="D2" s="3"/>
      <c r="E2" s="3"/>
      <c r="F2" s="3"/>
      <c r="G2" s="3"/>
      <c r="H2" s="3"/>
    </row>
    <row r="3" customFormat="false" ht="7.5" hidden="false" customHeight="true" outlineLevel="0" collapsed="false"/>
    <row r="4" customFormat="false" ht="27.75" hidden="false" customHeight="true" outlineLevel="0" collapsed="false">
      <c r="A4" s="4" t="s">
        <v>2</v>
      </c>
      <c r="B4" s="4"/>
      <c r="C4" s="4"/>
      <c r="D4" s="4"/>
      <c r="E4" s="4"/>
      <c r="F4" s="4"/>
      <c r="G4" s="4"/>
      <c r="H4" s="4"/>
    </row>
    <row r="5" customFormat="false" ht="1.5" hidden="false" customHeight="true" outlineLevel="0" collapsed="false">
      <c r="A5" s="4"/>
      <c r="B5" s="4"/>
      <c r="C5" s="4"/>
      <c r="D5" s="4"/>
      <c r="E5" s="4"/>
      <c r="F5" s="4"/>
      <c r="G5" s="4"/>
      <c r="H5" s="4"/>
    </row>
    <row r="6" customFormat="false" ht="1.5" hidden="false" customHeight="true" outlineLevel="0" collapsed="false">
      <c r="A6" s="4"/>
      <c r="B6" s="4"/>
      <c r="C6" s="4"/>
      <c r="D6" s="4"/>
      <c r="E6" s="4"/>
      <c r="F6" s="4"/>
      <c r="G6" s="4"/>
      <c r="H6" s="4"/>
    </row>
    <row r="7" customFormat="false" ht="3.75" hidden="false" customHeight="true" outlineLevel="0" collapsed="false"/>
    <row r="8" customFormat="false" ht="27.75" hidden="false" customHeight="true" outlineLevel="0" collapsed="false">
      <c r="A8" s="5" t="s">
        <v>3</v>
      </c>
      <c r="B8" s="5"/>
      <c r="C8" s="5"/>
      <c r="D8" s="5"/>
      <c r="E8" s="5"/>
      <c r="F8" s="5"/>
      <c r="G8" s="5"/>
      <c r="H8" s="5"/>
    </row>
    <row r="9" customFormat="false" ht="1.5" hidden="false" customHeight="true" outlineLevel="0" collapsed="false">
      <c r="A9" s="5"/>
      <c r="B9" s="5"/>
      <c r="C9" s="5"/>
      <c r="D9" s="5"/>
      <c r="E9" s="5"/>
      <c r="F9" s="5"/>
      <c r="G9" s="5"/>
      <c r="H9" s="5"/>
    </row>
    <row r="10" customFormat="false" ht="1.5" hidden="false" customHeight="true" outlineLevel="0" collapsed="false">
      <c r="A10" s="5"/>
      <c r="B10" s="5"/>
      <c r="C10" s="5"/>
      <c r="D10" s="5"/>
      <c r="E10" s="5"/>
      <c r="F10" s="5"/>
      <c r="G10" s="5"/>
      <c r="H10" s="5"/>
    </row>
    <row r="11" customFormat="false" ht="3.75" hidden="false" customHeight="true" outlineLevel="0" collapsed="false"/>
    <row r="12" customFormat="false" ht="27.75" hidden="false" customHeight="true" outlineLevel="0" collapsed="false">
      <c r="A12" s="6" t="s">
        <v>4</v>
      </c>
      <c r="B12" s="6"/>
      <c r="C12" s="6"/>
      <c r="D12" s="6"/>
      <c r="E12" s="6"/>
      <c r="F12" s="6"/>
      <c r="G12" s="6"/>
      <c r="H12" s="6"/>
    </row>
    <row r="13" customFormat="false" ht="1.5" hidden="false" customHeight="true" outlineLevel="0" collapsed="false">
      <c r="A13" s="6"/>
      <c r="B13" s="6"/>
      <c r="C13" s="6"/>
      <c r="D13" s="6"/>
      <c r="E13" s="6"/>
      <c r="F13" s="6"/>
      <c r="G13" s="6"/>
      <c r="H13" s="6"/>
    </row>
    <row r="14" customFormat="false" ht="1.5" hidden="false" customHeight="true" outlineLevel="0" collapsed="false">
      <c r="A14" s="6"/>
      <c r="B14" s="6"/>
      <c r="C14" s="6"/>
      <c r="D14" s="6"/>
      <c r="E14" s="6"/>
      <c r="F14" s="6"/>
      <c r="G14" s="6"/>
      <c r="H14" s="6"/>
    </row>
    <row r="15" customFormat="false" ht="3.75" hidden="false" customHeight="true" outlineLevel="0" collapsed="false"/>
    <row r="16" customFormat="false" ht="27.75" hidden="false" customHeight="true" outlineLevel="0" collapsed="false">
      <c r="A16" s="7" t="s">
        <v>5</v>
      </c>
      <c r="B16" s="7"/>
      <c r="C16" s="7"/>
      <c r="D16" s="7"/>
      <c r="E16" s="7"/>
      <c r="F16" s="7"/>
      <c r="G16" s="7"/>
      <c r="H16" s="7"/>
    </row>
    <row r="17" customFormat="false" ht="1.5" hidden="false" customHeight="true" outlineLevel="0" collapsed="false">
      <c r="A17" s="7"/>
      <c r="B17" s="7"/>
      <c r="C17" s="7"/>
      <c r="D17" s="7"/>
      <c r="E17" s="7"/>
      <c r="F17" s="7"/>
      <c r="G17" s="7"/>
      <c r="H17" s="7"/>
    </row>
    <row r="18" customFormat="false" ht="1.5" hidden="false" customHeight="true" outlineLevel="0" collapsed="false">
      <c r="A18" s="7"/>
      <c r="B18" s="7"/>
      <c r="C18" s="7"/>
      <c r="D18" s="7"/>
      <c r="E18" s="7"/>
      <c r="F18" s="7"/>
      <c r="G18" s="7"/>
      <c r="H18" s="7"/>
    </row>
    <row r="19" customFormat="false" ht="3.75" hidden="false" customHeight="true" outlineLevel="0" collapsed="false"/>
    <row r="20" customFormat="false" ht="27.75" hidden="false" customHeight="true" outlineLevel="0" collapsed="false">
      <c r="A20" s="8" t="s">
        <v>6</v>
      </c>
      <c r="B20" s="8"/>
      <c r="C20" s="8"/>
      <c r="D20" s="8"/>
      <c r="E20" s="8"/>
      <c r="F20" s="8"/>
      <c r="G20" s="8"/>
      <c r="H20" s="8"/>
    </row>
    <row r="21" customFormat="false" ht="1.5" hidden="false" customHeight="true" outlineLevel="0" collapsed="false">
      <c r="A21" s="8"/>
      <c r="B21" s="8"/>
      <c r="C21" s="8"/>
      <c r="D21" s="8"/>
      <c r="E21" s="8"/>
      <c r="F21" s="8"/>
      <c r="G21" s="8"/>
      <c r="H21" s="8"/>
    </row>
    <row r="22" customFormat="false" ht="1.5" hidden="false" customHeight="true" outlineLevel="0" collapsed="false">
      <c r="A22" s="8"/>
      <c r="B22" s="8"/>
      <c r="C22" s="8"/>
      <c r="D22" s="8"/>
      <c r="E22" s="8"/>
      <c r="F22" s="8"/>
      <c r="G22" s="8"/>
      <c r="H22" s="8"/>
    </row>
    <row r="23" customFormat="false" ht="3.75" hidden="false" customHeight="true" outlineLevel="0" collapsed="false"/>
    <row r="24" customFormat="false" ht="27.75" hidden="false" customHeight="true" outlineLevel="0" collapsed="false">
      <c r="A24" s="9" t="s">
        <v>7</v>
      </c>
      <c r="B24" s="9"/>
      <c r="C24" s="9"/>
      <c r="D24" s="9"/>
      <c r="E24" s="9"/>
      <c r="F24" s="9"/>
      <c r="G24" s="9"/>
      <c r="H24" s="9"/>
    </row>
    <row r="25" customFormat="false" ht="1.5" hidden="false" customHeight="true" outlineLevel="0" collapsed="false">
      <c r="A25" s="9"/>
      <c r="B25" s="9"/>
      <c r="C25" s="9"/>
      <c r="D25" s="9"/>
      <c r="E25" s="9"/>
      <c r="F25" s="9"/>
      <c r="G25" s="9"/>
      <c r="H25" s="9"/>
    </row>
    <row r="26" customFormat="false" ht="1.5" hidden="false" customHeight="true" outlineLevel="0" collapsed="false">
      <c r="A26" s="9"/>
      <c r="B26" s="9"/>
      <c r="C26" s="9"/>
      <c r="D26" s="9"/>
      <c r="E26" s="9"/>
      <c r="F26" s="9"/>
      <c r="G26" s="9"/>
      <c r="H26" s="9"/>
    </row>
    <row r="27" customFormat="false" ht="3.75" hidden="false" customHeight="true" outlineLevel="0" collapsed="false"/>
    <row r="29" customFormat="false" ht="21.75" hidden="false" customHeight="true" outlineLevel="0" collapsed="false">
      <c r="A29" s="10" t="s">
        <v>8</v>
      </c>
      <c r="B29" s="10"/>
      <c r="C29" s="10"/>
      <c r="D29" s="10"/>
      <c r="E29" s="10"/>
      <c r="F29" s="10"/>
      <c r="G29" s="10"/>
      <c r="H29" s="10"/>
    </row>
    <row r="30" customFormat="false" ht="19.5" hidden="false" customHeight="true" outlineLevel="0" collapsed="false">
      <c r="A30" s="11" t="s">
        <v>9</v>
      </c>
      <c r="B30" s="11"/>
      <c r="C30" s="11"/>
      <c r="D30" s="11"/>
      <c r="E30" s="12" t="n">
        <f aca="false">'💳 Debt Calculator'!A44</f>
        <v>16700</v>
      </c>
      <c r="F30" s="12"/>
      <c r="G30" s="12"/>
      <c r="H30" s="12"/>
    </row>
    <row r="31" customFormat="false" ht="19.5" hidden="false" customHeight="true" outlineLevel="0" collapsed="false">
      <c r="A31" s="11" t="s">
        <v>10</v>
      </c>
      <c r="B31" s="11"/>
      <c r="C31" s="11"/>
      <c r="D31" s="11"/>
      <c r="E31" s="13" t="n">
        <f aca="false">'💼 Income &amp; Budget'!A46</f>
        <v>-347.5</v>
      </c>
      <c r="F31" s="13"/>
      <c r="G31" s="13"/>
      <c r="H31" s="13"/>
    </row>
    <row r="32" customFormat="false" ht="19.5" hidden="false" customHeight="true" outlineLevel="0" collapsed="false">
      <c r="A32" s="11" t="s">
        <v>11</v>
      </c>
      <c r="B32" s="11"/>
      <c r="C32" s="11"/>
      <c r="D32" s="11"/>
      <c r="E32" s="13" t="n">
        <f aca="false">'💼 Income &amp; Budget'!A48</f>
        <v>-4170</v>
      </c>
      <c r="F32" s="13"/>
      <c r="G32" s="13"/>
      <c r="H32" s="13"/>
    </row>
    <row r="33" customFormat="false" ht="19.5" hidden="false" customHeight="true" outlineLevel="0" collapsed="false">
      <c r="A33" s="11" t="s">
        <v>12</v>
      </c>
      <c r="B33" s="11"/>
      <c r="C33" s="11"/>
      <c r="D33" s="11"/>
      <c r="E33" s="14" t="n">
        <f aca="false">'💼 Income &amp; Budget'!A49</f>
        <v>-0.10859375</v>
      </c>
      <c r="F33" s="14"/>
      <c r="G33" s="14"/>
      <c r="H33" s="14"/>
    </row>
    <row r="34" customFormat="false" ht="19.5" hidden="false" customHeight="true" outlineLevel="0" collapsed="false">
      <c r="A34" s="11" t="s">
        <v>13</v>
      </c>
      <c r="B34" s="11"/>
      <c r="C34" s="11"/>
      <c r="D34" s="11"/>
      <c r="E34" s="15" t="n">
        <f aca="false">'🏦 Pension Planner'!C60</f>
        <v>508638.938753202</v>
      </c>
      <c r="F34" s="15"/>
      <c r="G34" s="15"/>
      <c r="H34" s="15"/>
    </row>
    <row r="35" customFormat="false" ht="19.5" hidden="false" customHeight="true" outlineLevel="0" collapsed="false">
      <c r="A35" s="11" t="s">
        <v>14</v>
      </c>
      <c r="B35" s="11"/>
      <c r="C35" s="11"/>
      <c r="D35" s="11"/>
      <c r="E35" s="16" t="n">
        <f aca="false">'🏦 Pension Planner'!C63</f>
        <v>46188.9387532016</v>
      </c>
      <c r="F35" s="16"/>
      <c r="G35" s="16"/>
      <c r="H35" s="16"/>
    </row>
    <row r="36" customFormat="false" ht="19.5" hidden="false" customHeight="true" outlineLevel="0" collapsed="false">
      <c r="A36" s="11" t="s">
        <v>15</v>
      </c>
      <c r="B36" s="11"/>
      <c r="C36" s="11"/>
      <c r="D36" s="11"/>
      <c r="E36" s="16" t="n">
        <f aca="false">'📊 Net Worth Tracker'!A40</f>
        <v>15800</v>
      </c>
      <c r="F36" s="16"/>
      <c r="G36" s="16"/>
      <c r="H36" s="16"/>
    </row>
  </sheetData>
  <mergeCells count="23">
    <mergeCell ref="A1:H1"/>
    <mergeCell ref="A2:H2"/>
    <mergeCell ref="A4:H6"/>
    <mergeCell ref="A8:H10"/>
    <mergeCell ref="A12:H14"/>
    <mergeCell ref="A16:H18"/>
    <mergeCell ref="A20:H22"/>
    <mergeCell ref="A24:H26"/>
    <mergeCell ref="A29:H29"/>
    <mergeCell ref="A30:D30"/>
    <mergeCell ref="E30:H30"/>
    <mergeCell ref="A31:D31"/>
    <mergeCell ref="E31:H31"/>
    <mergeCell ref="A32:D32"/>
    <mergeCell ref="E32:H32"/>
    <mergeCell ref="A33:D33"/>
    <mergeCell ref="E33:H33"/>
    <mergeCell ref="A34:D34"/>
    <mergeCell ref="E34:H34"/>
    <mergeCell ref="A35:D35"/>
    <mergeCell ref="E35:H35"/>
    <mergeCell ref="A36:D36"/>
    <mergeCell ref="E36:H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A84C"/>
    <pageSetUpPr fitToPage="false"/>
  </sheetPr>
  <dimension ref="B1:C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30"/>
    <col collapsed="false" customWidth="true" hidden="false" outlineLevel="0" max="3" min="3" style="1" width="70"/>
  </cols>
  <sheetData>
    <row r="1" customFormat="false" ht="36" hidden="false" customHeight="true" outlineLevel="0" collapsed="false">
      <c r="B1" s="17" t="s">
        <v>16</v>
      </c>
      <c r="C1" s="17"/>
    </row>
    <row r="3" customFormat="false" ht="25.5" hidden="false" customHeight="true" outlineLevel="0" collapsed="false">
      <c r="B3" s="18" t="s">
        <v>17</v>
      </c>
      <c r="C3" s="18"/>
    </row>
    <row r="4" customFormat="false" ht="30" hidden="false" customHeight="true" outlineLevel="0" collapsed="false">
      <c r="B4" s="19" t="s">
        <v>18</v>
      </c>
      <c r="C4" s="20" t="s">
        <v>19</v>
      </c>
    </row>
    <row r="5" customFormat="false" ht="30" hidden="false" customHeight="true" outlineLevel="0" collapsed="false">
      <c r="B5" s="19" t="s">
        <v>20</v>
      </c>
      <c r="C5" s="20" t="s">
        <v>21</v>
      </c>
    </row>
    <row r="6" customFormat="false" ht="45" hidden="false" customHeight="true" outlineLevel="0" collapsed="false">
      <c r="B6" s="19" t="s">
        <v>22</v>
      </c>
      <c r="C6" s="20" t="s">
        <v>23</v>
      </c>
    </row>
    <row r="7" customFormat="false" ht="30" hidden="false" customHeight="true" outlineLevel="0" collapsed="false">
      <c r="B7" s="19" t="s">
        <v>24</v>
      </c>
      <c r="C7" s="20" t="s">
        <v>25</v>
      </c>
    </row>
    <row r="9" customFormat="false" ht="25.5" hidden="false" customHeight="true" outlineLevel="0" collapsed="false">
      <c r="B9" s="18" t="s">
        <v>26</v>
      </c>
      <c r="C9" s="18"/>
    </row>
    <row r="10" customFormat="false" ht="45" hidden="false" customHeight="true" outlineLevel="0" collapsed="false">
      <c r="B10" s="19" t="s">
        <v>27</v>
      </c>
      <c r="C10" s="20" t="s">
        <v>28</v>
      </c>
    </row>
    <row r="11" customFormat="false" ht="60" hidden="false" customHeight="true" outlineLevel="0" collapsed="false">
      <c r="B11" s="19" t="s">
        <v>29</v>
      </c>
      <c r="C11" s="20" t="s">
        <v>30</v>
      </c>
    </row>
    <row r="12" customFormat="false" ht="30" hidden="false" customHeight="true" outlineLevel="0" collapsed="false">
      <c r="B12" s="19" t="s">
        <v>31</v>
      </c>
      <c r="C12" s="20" t="s">
        <v>32</v>
      </c>
    </row>
    <row r="13" customFormat="false" ht="60" hidden="false" customHeight="true" outlineLevel="0" collapsed="false">
      <c r="B13" s="19" t="s">
        <v>33</v>
      </c>
      <c r="C13" s="20" t="s">
        <v>34</v>
      </c>
    </row>
    <row r="15" customFormat="false" ht="25.5" hidden="false" customHeight="true" outlineLevel="0" collapsed="false">
      <c r="B15" s="18" t="s">
        <v>35</v>
      </c>
      <c r="C15" s="18"/>
    </row>
    <row r="16" customFormat="false" ht="30" hidden="false" customHeight="true" outlineLevel="0" collapsed="false">
      <c r="B16" s="19" t="s">
        <v>36</v>
      </c>
      <c r="C16" s="20" t="s">
        <v>37</v>
      </c>
    </row>
    <row r="17" customFormat="false" ht="45" hidden="false" customHeight="true" outlineLevel="0" collapsed="false">
      <c r="B17" s="19" t="s">
        <v>38</v>
      </c>
      <c r="C17" s="20" t="s">
        <v>39</v>
      </c>
    </row>
    <row r="18" customFormat="false" ht="45" hidden="false" customHeight="true" outlineLevel="0" collapsed="false">
      <c r="B18" s="19" t="s">
        <v>40</v>
      </c>
      <c r="C18" s="20" t="s">
        <v>41</v>
      </c>
    </row>
    <row r="19" customFormat="false" ht="45" hidden="false" customHeight="true" outlineLevel="0" collapsed="false">
      <c r="B19" s="19" t="s">
        <v>42</v>
      </c>
      <c r="C19" s="20" t="s">
        <v>43</v>
      </c>
    </row>
    <row r="21" customFormat="false" ht="25.5" hidden="false" customHeight="true" outlineLevel="0" collapsed="false">
      <c r="B21" s="18" t="s">
        <v>44</v>
      </c>
      <c r="C21" s="18"/>
    </row>
    <row r="22" customFormat="false" ht="45" hidden="false" customHeight="true" outlineLevel="0" collapsed="false">
      <c r="B22" s="19" t="s">
        <v>45</v>
      </c>
      <c r="C22" s="20" t="s">
        <v>46</v>
      </c>
    </row>
    <row r="23" customFormat="false" ht="45" hidden="false" customHeight="true" outlineLevel="0" collapsed="false">
      <c r="B23" s="19" t="s">
        <v>47</v>
      </c>
      <c r="C23" s="20" t="s">
        <v>48</v>
      </c>
    </row>
    <row r="24" customFormat="false" ht="45" hidden="false" customHeight="true" outlineLevel="0" collapsed="false">
      <c r="B24" s="19" t="s">
        <v>49</v>
      </c>
      <c r="C24" s="20" t="s">
        <v>50</v>
      </c>
    </row>
    <row r="25" customFormat="false" ht="60" hidden="false" customHeight="true" outlineLevel="0" collapsed="false">
      <c r="B25" s="19" t="s">
        <v>51</v>
      </c>
      <c r="C25" s="20" t="s">
        <v>52</v>
      </c>
    </row>
    <row r="26" customFormat="false" ht="45" hidden="false" customHeight="true" outlineLevel="0" collapsed="false">
      <c r="B26" s="19" t="s">
        <v>53</v>
      </c>
      <c r="C26" s="20" t="s">
        <v>54</v>
      </c>
    </row>
    <row r="28" customFormat="false" ht="25.5" hidden="false" customHeight="true" outlineLevel="0" collapsed="false">
      <c r="B28" s="18" t="s">
        <v>55</v>
      </c>
      <c r="C28" s="18"/>
    </row>
    <row r="29" customFormat="false" ht="45" hidden="false" customHeight="true" outlineLevel="0" collapsed="false">
      <c r="B29" s="19" t="s">
        <v>56</v>
      </c>
      <c r="C29" s="20" t="s">
        <v>57</v>
      </c>
    </row>
    <row r="30" customFormat="false" ht="30" hidden="false" customHeight="true" outlineLevel="0" collapsed="false">
      <c r="B30" s="19" t="s">
        <v>58</v>
      </c>
      <c r="C30" s="20" t="s">
        <v>59</v>
      </c>
    </row>
    <row r="31" customFormat="false" ht="30" hidden="false" customHeight="true" outlineLevel="0" collapsed="false">
      <c r="B31" s="19" t="s">
        <v>60</v>
      </c>
      <c r="C31" s="20" t="s">
        <v>61</v>
      </c>
    </row>
    <row r="33" customFormat="false" ht="25.5" hidden="false" customHeight="true" outlineLevel="0" collapsed="false">
      <c r="B33" s="18" t="s">
        <v>62</v>
      </c>
      <c r="C33" s="18"/>
    </row>
    <row r="34" customFormat="false" ht="45" hidden="false" customHeight="true" outlineLevel="0" collapsed="false">
      <c r="B34" s="19" t="s">
        <v>63</v>
      </c>
      <c r="C34" s="20" t="s">
        <v>64</v>
      </c>
    </row>
    <row r="35" customFormat="false" ht="45" hidden="false" customHeight="true" outlineLevel="0" collapsed="false">
      <c r="B35" s="19" t="s">
        <v>65</v>
      </c>
      <c r="C35" s="20" t="s">
        <v>66</v>
      </c>
    </row>
    <row r="36" customFormat="false" ht="60" hidden="false" customHeight="true" outlineLevel="0" collapsed="false">
      <c r="B36" s="19" t="s">
        <v>67</v>
      </c>
      <c r="C36" s="20" t="s">
        <v>68</v>
      </c>
    </row>
    <row r="38" customFormat="false" ht="25.5" hidden="false" customHeight="true" outlineLevel="0" collapsed="false">
      <c r="B38" s="18" t="s">
        <v>69</v>
      </c>
      <c r="C38" s="18"/>
    </row>
    <row r="39" customFormat="false" ht="30" hidden="false" customHeight="true" outlineLevel="0" collapsed="false">
      <c r="B39" s="19" t="s">
        <v>70</v>
      </c>
      <c r="C39" s="20" t="s">
        <v>71</v>
      </c>
    </row>
    <row r="40" customFormat="false" ht="45" hidden="false" customHeight="true" outlineLevel="0" collapsed="false">
      <c r="B40" s="19" t="s">
        <v>72</v>
      </c>
      <c r="C40" s="20" t="s">
        <v>73</v>
      </c>
    </row>
    <row r="41" customFormat="false" ht="60" hidden="false" customHeight="true" outlineLevel="0" collapsed="false">
      <c r="B41" s="19" t="s">
        <v>74</v>
      </c>
      <c r="C41" s="20" t="s">
        <v>75</v>
      </c>
    </row>
  </sheetData>
  <mergeCells count="8">
    <mergeCell ref="B1:C1"/>
    <mergeCell ref="B3:C3"/>
    <mergeCell ref="B9:C9"/>
    <mergeCell ref="B15:C15"/>
    <mergeCell ref="B21:C21"/>
    <mergeCell ref="B28:C28"/>
    <mergeCell ref="B33:C33"/>
    <mergeCell ref="B38:C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392B"/>
    <pageSetUpPr fitToPage="false"/>
  </sheetPr>
  <dimension ref="A1:K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22"/>
    <col collapsed="false" customWidth="true" hidden="false" outlineLevel="0" max="3" min="3" style="1" width="18"/>
    <col collapsed="false" customWidth="true" hidden="false" outlineLevel="0" max="4" min="4" style="1" width="14"/>
    <col collapsed="false" customWidth="true" hidden="false" outlineLevel="0" max="6" min="5" style="1" width="16"/>
    <col collapsed="false" customWidth="true" hidden="false" outlineLevel="0" max="8" min="7" style="1" width="14"/>
    <col collapsed="false" customWidth="true" hidden="false" outlineLevel="0" max="9" min="9" style="1" width="18"/>
    <col collapsed="false" customWidth="true" hidden="false" outlineLevel="0" max="10" min="10" style="1" width="20"/>
    <col collapsed="false" customWidth="true" hidden="false" outlineLevel="0" max="11" min="11" style="1" width="18"/>
  </cols>
  <sheetData>
    <row r="1" customFormat="false" ht="24" hidden="false" customHeight="true" outlineLevel="0" collapsed="false">
      <c r="A1" s="21" t="s">
        <v>76</v>
      </c>
      <c r="B1" s="21"/>
      <c r="C1" s="21"/>
      <c r="D1" s="21"/>
      <c r="E1" s="21"/>
      <c r="F1" s="21"/>
      <c r="G1" s="21"/>
      <c r="H1" s="21"/>
      <c r="I1" s="21"/>
      <c r="J1" s="21"/>
      <c r="K1" s="21"/>
    </row>
    <row r="2" customFormat="false" ht="24" hidden="false" customHeight="true" outlineLevel="0" collapsed="false">
      <c r="A2" s="22" t="s">
        <v>77</v>
      </c>
      <c r="B2" s="22"/>
      <c r="C2" s="22"/>
      <c r="D2" s="22"/>
      <c r="E2" s="22"/>
      <c r="F2" s="22"/>
      <c r="G2" s="22"/>
      <c r="H2" s="22"/>
      <c r="I2" s="22"/>
      <c r="J2" s="22"/>
      <c r="K2" s="22"/>
    </row>
    <row r="3" customFormat="false" ht="7.5" hidden="false" customHeight="true" outlineLevel="0" collapsed="false"/>
    <row r="4" customFormat="false" ht="21.75" hidden="false" customHeight="true" outlineLevel="0" collapsed="false">
      <c r="A4" s="23" t="s">
        <v>78</v>
      </c>
      <c r="B4" s="23"/>
      <c r="C4" s="23"/>
      <c r="D4" s="23"/>
      <c r="E4" s="23"/>
      <c r="F4" s="24" t="n">
        <v>100</v>
      </c>
      <c r="G4" s="25" t="s">
        <v>79</v>
      </c>
    </row>
    <row r="5" customFormat="false" ht="7.5" hidden="false" customHeight="true" outlineLevel="0" collapsed="false"/>
    <row r="6" customFormat="false" ht="27.75" hidden="false" customHeight="true" outlineLevel="0" collapsed="false">
      <c r="A6" s="26" t="s">
        <v>80</v>
      </c>
      <c r="B6" s="26" t="s">
        <v>81</v>
      </c>
      <c r="C6" s="26" t="s">
        <v>82</v>
      </c>
      <c r="D6" s="26" t="s">
        <v>83</v>
      </c>
      <c r="E6" s="26" t="s">
        <v>84</v>
      </c>
      <c r="F6" s="26" t="s">
        <v>85</v>
      </c>
      <c r="G6" s="26" t="s">
        <v>86</v>
      </c>
      <c r="H6" s="26" t="s">
        <v>87</v>
      </c>
      <c r="I6" s="26" t="s">
        <v>88</v>
      </c>
      <c r="J6" s="26" t="s">
        <v>89</v>
      </c>
      <c r="K6" s="26" t="s">
        <v>90</v>
      </c>
    </row>
    <row r="7" customFormat="false" ht="15.75" hidden="false" customHeight="true" outlineLevel="0" collapsed="false">
      <c r="A7" s="27"/>
      <c r="B7" s="27" t="s">
        <v>91</v>
      </c>
      <c r="C7" s="27" t="s">
        <v>92</v>
      </c>
      <c r="D7" s="27" t="s">
        <v>93</v>
      </c>
      <c r="E7" s="27" t="s">
        <v>94</v>
      </c>
      <c r="F7" s="27" t="s">
        <v>95</v>
      </c>
      <c r="G7" s="27" t="s">
        <v>96</v>
      </c>
      <c r="H7" s="27" t="s">
        <v>97</v>
      </c>
      <c r="I7" s="27" t="s">
        <v>98</v>
      </c>
      <c r="J7" s="27" t="s">
        <v>98</v>
      </c>
      <c r="K7" s="27" t="s">
        <v>99</v>
      </c>
    </row>
    <row r="8" customFormat="false" ht="19.5" hidden="false" customHeight="true" outlineLevel="0" collapsed="false">
      <c r="A8" s="28" t="n">
        <v>1</v>
      </c>
      <c r="B8" s="29" t="s">
        <v>100</v>
      </c>
      <c r="C8" s="29" t="s">
        <v>101</v>
      </c>
      <c r="D8" s="24" t="n">
        <v>3500</v>
      </c>
      <c r="E8" s="30" t="n">
        <v>0.2499</v>
      </c>
      <c r="F8" s="24" t="n">
        <v>75</v>
      </c>
      <c r="G8" s="31" t="n">
        <f aca="false">IF(D8="","",IF(K8=1,$F$4,0))</f>
        <v>100</v>
      </c>
      <c r="H8" s="31" t="n">
        <f aca="false">IF(D8="","",F8+G8)</f>
        <v>175</v>
      </c>
      <c r="I8" s="32" t="n">
        <f aca="false">IF(OR(D8="",D8=0,H8=0),"",IF(E8=0,CEILING(D8/H8,1),IFERROR(CEILING(-LOG(1-D8*E8/12/H8)/LOG(1+E8/12),1),"Review")))</f>
        <v>27</v>
      </c>
      <c r="J8" s="31" t="n">
        <f aca="false">IF(OR(D8="",I8=""),"",IF(ISNUMBER(I8),I8*H8-D8,0))</f>
        <v>1225</v>
      </c>
      <c r="K8" s="33" t="n">
        <f aca="false">IF(E8="","",RANK(E8,E8:E19,0))</f>
        <v>1</v>
      </c>
    </row>
    <row r="9" customFormat="false" ht="19.5" hidden="false" customHeight="true" outlineLevel="0" collapsed="false">
      <c r="A9" s="28" t="n">
        <v>2</v>
      </c>
      <c r="B9" s="29" t="s">
        <v>102</v>
      </c>
      <c r="C9" s="29" t="s">
        <v>103</v>
      </c>
      <c r="D9" s="24" t="n">
        <v>8200</v>
      </c>
      <c r="E9" s="30" t="n">
        <v>0.0699</v>
      </c>
      <c r="F9" s="24" t="n">
        <v>180</v>
      </c>
      <c r="G9" s="31" t="n">
        <f aca="false">IF(D9="","",IF(K9=1,$F$4,0))</f>
        <v>0</v>
      </c>
      <c r="H9" s="31" t="n">
        <f aca="false">IF(D9="","",F9+G9)</f>
        <v>180</v>
      </c>
      <c r="I9" s="32" t="n">
        <f aca="false">IF(OR(D9="",D9=0,H9=0),"",IF(E9=0,CEILING(D9/H9,1),IFERROR(CEILING(-LOG(1-D9*E9/12/H9)/LOG(1+E9/12),1),"Review")))</f>
        <v>54</v>
      </c>
      <c r="J9" s="31" t="n">
        <f aca="false">IF(OR(D9="",I9=""),"",IF(ISNUMBER(I9),I9*H9-D9,0))</f>
        <v>1520</v>
      </c>
      <c r="K9" s="33" t="n">
        <f aca="false">IF(E9="","",RANK(E9,E8:E19,0))</f>
        <v>3</v>
      </c>
    </row>
    <row r="10" customFormat="false" ht="19.5" hidden="false" customHeight="true" outlineLevel="0" collapsed="false">
      <c r="A10" s="28" t="n">
        <v>3</v>
      </c>
      <c r="B10" s="29" t="s">
        <v>104</v>
      </c>
      <c r="C10" s="29" t="s">
        <v>104</v>
      </c>
      <c r="D10" s="24" t="n">
        <v>5000</v>
      </c>
      <c r="E10" s="30" t="n">
        <v>0.12</v>
      </c>
      <c r="F10" s="24" t="n">
        <v>120</v>
      </c>
      <c r="G10" s="31" t="n">
        <f aca="false">IF(D10="","",IF(K10=1,$F$4,0))</f>
        <v>0</v>
      </c>
      <c r="H10" s="31" t="n">
        <f aca="false">IF(D10="","",F10+G10)</f>
        <v>120</v>
      </c>
      <c r="I10" s="32" t="n">
        <f aca="false">IF(OR(D10="",D10=0,H10=0),"",IF(E10=0,CEILING(D10/H10,1),IFERROR(CEILING(-LOG(1-D10*E10/12/H10)/LOG(1+E10/12),1),"Review")))</f>
        <v>55</v>
      </c>
      <c r="J10" s="31" t="n">
        <f aca="false">IF(OR(D10="",I10=""),"",IF(ISNUMBER(I10),I10*H10-D10,0))</f>
        <v>1600</v>
      </c>
      <c r="K10" s="33" t="n">
        <f aca="false">IF(E10="","",RANK(E10,E8:E19,0))</f>
        <v>2</v>
      </c>
    </row>
    <row r="11" customFormat="false" ht="19.5" hidden="false" customHeight="true" outlineLevel="0" collapsed="false">
      <c r="A11" s="28" t="n">
        <v>4</v>
      </c>
      <c r="B11" s="29"/>
      <c r="C11" s="29"/>
      <c r="D11" s="24"/>
      <c r="E11" s="30"/>
      <c r="F11" s="24"/>
      <c r="G11" s="31" t="str">
        <f aca="false">IF(D11="","",IF(K11=1,$F$4,0))</f>
        <v/>
      </c>
      <c r="H11" s="31" t="str">
        <f aca="false">IF(D11="","",F11+G11)</f>
        <v/>
      </c>
      <c r="I11" s="32" t="str">
        <f aca="false">IF(OR(D11="",D11=0,H11=0),"",IF(E11=0,CEILING(D11/H11,1),IFERROR(CEILING(-LOG(1-D11*E11/12/H11)/LOG(1+E11/12),1),"Review")))</f>
        <v/>
      </c>
      <c r="J11" s="31" t="str">
        <f aca="false">IF(OR(D11="",I11=""),"",IF(ISNUMBER(I11),I11*H11-D11,0))</f>
        <v/>
      </c>
      <c r="K11" s="33" t="str">
        <f aca="false">IF(E11="","",RANK(E11,E8:E19,0))</f>
        <v/>
      </c>
    </row>
    <row r="12" customFormat="false" ht="19.5" hidden="false" customHeight="true" outlineLevel="0" collapsed="false">
      <c r="A12" s="28" t="n">
        <v>5</v>
      </c>
      <c r="B12" s="29"/>
      <c r="C12" s="29"/>
      <c r="D12" s="24"/>
      <c r="E12" s="30"/>
      <c r="F12" s="24"/>
      <c r="G12" s="31" t="str">
        <f aca="false">IF(D12="","",IF(K12=1,$F$4,0))</f>
        <v/>
      </c>
      <c r="H12" s="31" t="str">
        <f aca="false">IF(D12="","",F12+G12)</f>
        <v/>
      </c>
      <c r="I12" s="32" t="str">
        <f aca="false">IF(OR(D12="",D12=0,H12=0),"",IF(E12=0,CEILING(D12/H12,1),IFERROR(CEILING(-LOG(1-D12*E12/12/H12)/LOG(1+E12/12),1),"Review")))</f>
        <v/>
      </c>
      <c r="J12" s="31" t="str">
        <f aca="false">IF(OR(D12="",I12=""),"",IF(ISNUMBER(I12),I12*H12-D12,0))</f>
        <v/>
      </c>
      <c r="K12" s="33" t="str">
        <f aca="false">IF(E12="","",RANK(E12,E8:E19,0))</f>
        <v/>
      </c>
    </row>
    <row r="13" customFormat="false" ht="19.5" hidden="false" customHeight="true" outlineLevel="0" collapsed="false">
      <c r="A13" s="28" t="n">
        <v>6</v>
      </c>
      <c r="B13" s="29"/>
      <c r="C13" s="29"/>
      <c r="D13" s="24"/>
      <c r="E13" s="30"/>
      <c r="F13" s="24"/>
      <c r="G13" s="31" t="str">
        <f aca="false">IF(D13="","",IF(K13=1,$F$4,0))</f>
        <v/>
      </c>
      <c r="H13" s="31" t="str">
        <f aca="false">IF(D13="","",F13+G13)</f>
        <v/>
      </c>
      <c r="I13" s="32" t="str">
        <f aca="false">IF(OR(D13="",D13=0,H13=0),"",IF(E13=0,CEILING(D13/H13,1),IFERROR(CEILING(-LOG(1-D13*E13/12/H13)/LOG(1+E13/12),1),"Review")))</f>
        <v/>
      </c>
      <c r="J13" s="31" t="str">
        <f aca="false">IF(OR(D13="",I13=""),"",IF(ISNUMBER(I13),I13*H13-D13,0))</f>
        <v/>
      </c>
      <c r="K13" s="33" t="str">
        <f aca="false">IF(E13="","",RANK(E13,E8:E19,0))</f>
        <v/>
      </c>
    </row>
    <row r="14" customFormat="false" ht="19.5" hidden="false" customHeight="true" outlineLevel="0" collapsed="false">
      <c r="A14" s="28" t="n">
        <v>7</v>
      </c>
      <c r="B14" s="29"/>
      <c r="C14" s="29"/>
      <c r="D14" s="24"/>
      <c r="E14" s="30"/>
      <c r="F14" s="24"/>
      <c r="G14" s="31" t="str">
        <f aca="false">IF(D14="","",IF(K14=1,$F$4,0))</f>
        <v/>
      </c>
      <c r="H14" s="31" t="str">
        <f aca="false">IF(D14="","",F14+G14)</f>
        <v/>
      </c>
      <c r="I14" s="32" t="str">
        <f aca="false">IF(OR(D14="",D14=0,H14=0),"",IF(E14=0,CEILING(D14/H14,1),IFERROR(CEILING(-LOG(1-D14*E14/12/H14)/LOG(1+E14/12),1),"Review")))</f>
        <v/>
      </c>
      <c r="J14" s="31" t="str">
        <f aca="false">IF(OR(D14="",I14=""),"",IF(ISNUMBER(I14),I14*H14-D14,0))</f>
        <v/>
      </c>
      <c r="K14" s="33" t="str">
        <f aca="false">IF(E14="","",RANK(E14,E8:E19,0))</f>
        <v/>
      </c>
    </row>
    <row r="15" customFormat="false" ht="19.5" hidden="false" customHeight="true" outlineLevel="0" collapsed="false">
      <c r="A15" s="28" t="n">
        <v>8</v>
      </c>
      <c r="B15" s="29"/>
      <c r="C15" s="29"/>
      <c r="D15" s="24"/>
      <c r="E15" s="30"/>
      <c r="F15" s="24"/>
      <c r="G15" s="31" t="str">
        <f aca="false">IF(D15="","",IF(K15=1,$F$4,0))</f>
        <v/>
      </c>
      <c r="H15" s="31" t="str">
        <f aca="false">IF(D15="","",F15+G15)</f>
        <v/>
      </c>
      <c r="I15" s="32" t="str">
        <f aca="false">IF(OR(D15="",D15=0,H15=0),"",IF(E15=0,CEILING(D15/H15,1),IFERROR(CEILING(-LOG(1-D15*E15/12/H15)/LOG(1+E15/12),1),"Review")))</f>
        <v/>
      </c>
      <c r="J15" s="31" t="str">
        <f aca="false">IF(OR(D15="",I15=""),"",IF(ISNUMBER(I15),I15*H15-D15,0))</f>
        <v/>
      </c>
      <c r="K15" s="33" t="str">
        <f aca="false">IF(E15="","",RANK(E15,E8:E19,0))</f>
        <v/>
      </c>
    </row>
    <row r="16" customFormat="false" ht="19.5" hidden="false" customHeight="true" outlineLevel="0" collapsed="false">
      <c r="A16" s="28" t="n">
        <v>9</v>
      </c>
      <c r="B16" s="29"/>
      <c r="C16" s="29"/>
      <c r="D16" s="24"/>
      <c r="E16" s="30"/>
      <c r="F16" s="24"/>
      <c r="G16" s="31" t="str">
        <f aca="false">IF(D16="","",IF(K16=1,$F$4,0))</f>
        <v/>
      </c>
      <c r="H16" s="31" t="str">
        <f aca="false">IF(D16="","",F16+G16)</f>
        <v/>
      </c>
      <c r="I16" s="32" t="str">
        <f aca="false">IF(OR(D16="",D16=0,H16=0),"",IF(E16=0,CEILING(D16/H16,1),IFERROR(CEILING(-LOG(1-D16*E16/12/H16)/LOG(1+E16/12),1),"Review")))</f>
        <v/>
      </c>
      <c r="J16" s="31" t="str">
        <f aca="false">IF(OR(D16="",I16=""),"",IF(ISNUMBER(I16),I16*H16-D16,0))</f>
        <v/>
      </c>
      <c r="K16" s="33" t="str">
        <f aca="false">IF(E16="","",RANK(E16,E8:E19,0))</f>
        <v/>
      </c>
    </row>
    <row r="17" customFormat="false" ht="19.5" hidden="false" customHeight="true" outlineLevel="0" collapsed="false">
      <c r="A17" s="28" t="n">
        <v>10</v>
      </c>
      <c r="B17" s="29"/>
      <c r="C17" s="29"/>
      <c r="D17" s="24"/>
      <c r="E17" s="30"/>
      <c r="F17" s="24"/>
      <c r="G17" s="31" t="str">
        <f aca="false">IF(D17="","",IF(K17=1,$F$4,0))</f>
        <v/>
      </c>
      <c r="H17" s="31" t="str">
        <f aca="false">IF(D17="","",F17+G17)</f>
        <v/>
      </c>
      <c r="I17" s="32" t="str">
        <f aca="false">IF(OR(D17="",D17=0,H17=0),"",IF(E17=0,CEILING(D17/H17,1),IFERROR(CEILING(-LOG(1-D17*E17/12/H17)/LOG(1+E17/12),1),"Review")))</f>
        <v/>
      </c>
      <c r="J17" s="31" t="str">
        <f aca="false">IF(OR(D17="",I17=""),"",IF(ISNUMBER(I17),I17*H17-D17,0))</f>
        <v/>
      </c>
      <c r="K17" s="33" t="str">
        <f aca="false">IF(E17="","",RANK(E17,E8:E19,0))</f>
        <v/>
      </c>
    </row>
    <row r="18" customFormat="false" ht="19.5" hidden="false" customHeight="true" outlineLevel="0" collapsed="false">
      <c r="A18" s="28" t="n">
        <v>11</v>
      </c>
      <c r="B18" s="29"/>
      <c r="C18" s="29"/>
      <c r="D18" s="24"/>
      <c r="E18" s="30"/>
      <c r="F18" s="24"/>
      <c r="G18" s="31" t="str">
        <f aca="false">IF(D18="","",IF(K18=1,$F$4,0))</f>
        <v/>
      </c>
      <c r="H18" s="31" t="str">
        <f aca="false">IF(D18="","",F18+G18)</f>
        <v/>
      </c>
      <c r="I18" s="32" t="str">
        <f aca="false">IF(OR(D18="",D18=0,H18=0),"",IF(E18=0,CEILING(D18/H18,1),IFERROR(CEILING(-LOG(1-D18*E18/12/H18)/LOG(1+E18/12),1),"Review")))</f>
        <v/>
      </c>
      <c r="J18" s="31" t="str">
        <f aca="false">IF(OR(D18="",I18=""),"",IF(ISNUMBER(I18),I18*H18-D18,0))</f>
        <v/>
      </c>
      <c r="K18" s="33" t="str">
        <f aca="false">IF(E18="","",RANK(E18,E8:E19,0))</f>
        <v/>
      </c>
    </row>
    <row r="19" customFormat="false" ht="19.5" hidden="false" customHeight="true" outlineLevel="0" collapsed="false">
      <c r="A19" s="28" t="n">
        <v>12</v>
      </c>
      <c r="B19" s="29"/>
      <c r="C19" s="29"/>
      <c r="D19" s="24"/>
      <c r="E19" s="30"/>
      <c r="F19" s="24"/>
      <c r="G19" s="31" t="str">
        <f aca="false">IF(D19="","",IF(K19=1,$F$4,0))</f>
        <v/>
      </c>
      <c r="H19" s="31" t="str">
        <f aca="false">IF(D19="","",F19+G19)</f>
        <v/>
      </c>
      <c r="I19" s="32" t="str">
        <f aca="false">IF(OR(D19="",D19=0,H19=0),"",IF(E19=0,CEILING(D19/H19,1),IFERROR(CEILING(-LOG(1-D19*E19/12/H19)/LOG(1+E19/12),1),"Review")))</f>
        <v/>
      </c>
      <c r="J19" s="31" t="str">
        <f aca="false">IF(OR(D19="",I19=""),"",IF(ISNUMBER(I19),I19*H19-D19,0))</f>
        <v/>
      </c>
      <c r="K19" s="33" t="str">
        <f aca="false">IF(E19="","",RANK(E19,E8:E19,0))</f>
        <v/>
      </c>
    </row>
    <row r="20" customFormat="false" ht="7.5" hidden="false" customHeight="true" outlineLevel="0" collapsed="false"/>
    <row r="21" customFormat="false" ht="24" hidden="false" customHeight="true" outlineLevel="0" collapsed="false">
      <c r="A21" s="10" t="s">
        <v>105</v>
      </c>
      <c r="B21" s="10"/>
      <c r="C21" s="10"/>
      <c r="D21" s="10"/>
      <c r="E21" s="10"/>
      <c r="F21" s="10"/>
      <c r="G21" s="34" t="s">
        <v>106</v>
      </c>
      <c r="H21" s="34"/>
      <c r="I21" s="34"/>
      <c r="J21" s="34"/>
      <c r="K21" s="34"/>
    </row>
    <row r="22" customFormat="false" ht="21.75" hidden="false" customHeight="true" outlineLevel="0" collapsed="false">
      <c r="A22" s="11" t="s">
        <v>9</v>
      </c>
      <c r="B22" s="11"/>
      <c r="C22" s="11"/>
      <c r="D22" s="35" t="n">
        <f aca="false">SUMIF(D8:D19,"&lt;&gt;",D8:D19)</f>
        <v>16700</v>
      </c>
      <c r="E22" s="35"/>
      <c r="F22" s="35"/>
      <c r="G22" s="36" t="s">
        <v>107</v>
      </c>
      <c r="H22" s="36"/>
      <c r="I22" s="36"/>
      <c r="J22" s="36"/>
      <c r="K22" s="36"/>
    </row>
    <row r="23" customFormat="false" ht="21.75" hidden="false" customHeight="true" outlineLevel="0" collapsed="false">
      <c r="A23" s="11" t="s">
        <v>108</v>
      </c>
      <c r="B23" s="11"/>
      <c r="C23" s="11"/>
      <c r="D23" s="35" t="n">
        <f aca="false">SUMIF(F8:F19,"&lt;&gt;",F8:F19)</f>
        <v>375</v>
      </c>
      <c r="E23" s="35"/>
      <c r="F23" s="35"/>
      <c r="G23" s="36" t="s">
        <v>109</v>
      </c>
      <c r="H23" s="36"/>
      <c r="I23" s="36"/>
      <c r="J23" s="36"/>
      <c r="K23" s="36"/>
    </row>
    <row r="24" customFormat="false" ht="21.75" hidden="false" customHeight="true" outlineLevel="0" collapsed="false">
      <c r="A24" s="11" t="s">
        <v>110</v>
      </c>
      <c r="B24" s="11"/>
      <c r="C24" s="11"/>
      <c r="D24" s="35" t="n">
        <f aca="false">SUMIF(H8:H19,"&lt;&gt;",H8:H19)</f>
        <v>475</v>
      </c>
      <c r="E24" s="35"/>
      <c r="F24" s="35"/>
      <c r="G24" s="36" t="s">
        <v>111</v>
      </c>
      <c r="H24" s="36"/>
      <c r="I24" s="36"/>
      <c r="J24" s="36"/>
      <c r="K24" s="36"/>
    </row>
    <row r="25" customFormat="false" ht="21.75" hidden="false" customHeight="true" outlineLevel="0" collapsed="false">
      <c r="A25" s="11" t="s">
        <v>112</v>
      </c>
      <c r="B25" s="11"/>
      <c r="C25" s="11"/>
      <c r="D25" s="35" t="n">
        <f aca="false">SUMIF(J8:J19,"&lt;&gt;",J8:J19)</f>
        <v>4345</v>
      </c>
      <c r="E25" s="35"/>
      <c r="F25" s="35"/>
      <c r="G25" s="36" t="s">
        <v>113</v>
      </c>
      <c r="H25" s="36"/>
      <c r="I25" s="36"/>
      <c r="J25" s="36"/>
      <c r="K25" s="36"/>
    </row>
    <row r="26" customFormat="false" ht="21.75" hidden="false" customHeight="true" outlineLevel="0" collapsed="false">
      <c r="A26" s="11" t="s">
        <v>114</v>
      </c>
      <c r="B26" s="11"/>
      <c r="C26" s="11"/>
      <c r="D26" s="37" t="str">
        <f aca="false">IFERROR(INDEX(B8:B19,MATCH(MAX(E8:E19),E8:E19,0)),"—")</f>
        <v>Barclaycard</v>
      </c>
      <c r="E26" s="37"/>
      <c r="F26" s="37"/>
      <c r="G26" s="36" t="s">
        <v>115</v>
      </c>
      <c r="H26" s="36"/>
      <c r="I26" s="36"/>
      <c r="J26" s="36"/>
      <c r="K26" s="36"/>
    </row>
    <row r="27" customFormat="false" ht="21.75" hidden="false" customHeight="true" outlineLevel="0" collapsed="false">
      <c r="A27" s="11" t="s">
        <v>116</v>
      </c>
      <c r="B27" s="11"/>
      <c r="C27" s="11"/>
      <c r="D27" s="38" t="n">
        <f aca="false">IFERROR(MAX(I8:I19),"—")</f>
        <v>55</v>
      </c>
      <c r="E27" s="38"/>
      <c r="F27" s="38"/>
    </row>
    <row r="44" customFormat="false" ht="15" hidden="false" customHeight="true" outlineLevel="0" collapsed="false">
      <c r="A44" s="39" t="n">
        <f aca="false">D22</f>
        <v>16700</v>
      </c>
    </row>
  </sheetData>
  <mergeCells count="22">
    <mergeCell ref="A1:K1"/>
    <mergeCell ref="A2:K2"/>
    <mergeCell ref="A4:E4"/>
    <mergeCell ref="A21:F21"/>
    <mergeCell ref="G21:K21"/>
    <mergeCell ref="A22:C22"/>
    <mergeCell ref="D22:F22"/>
    <mergeCell ref="G22:K22"/>
    <mergeCell ref="A23:C23"/>
    <mergeCell ref="D23:F23"/>
    <mergeCell ref="G23:K23"/>
    <mergeCell ref="A24:C24"/>
    <mergeCell ref="D24:F24"/>
    <mergeCell ref="G24:K24"/>
    <mergeCell ref="A25:C25"/>
    <mergeCell ref="D25:F25"/>
    <mergeCell ref="G25:K25"/>
    <mergeCell ref="A26:C26"/>
    <mergeCell ref="D26:F26"/>
    <mergeCell ref="G26:K26"/>
    <mergeCell ref="A27:C27"/>
    <mergeCell ref="D27:F27"/>
  </mergeCells>
  <dataValidations count="1">
    <dataValidation allowBlank="true" errorStyle="stop" operator="between" showDropDown="false" showErrorMessage="false" showInputMessage="false" sqref="C8:C19" type="list">
      <formula1>"Credit Card,Personal Loan,Car Finance,Student Loan,Mortgage,Overdraft,Buy Now Pay Later,Store Card,Other"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980B9"/>
    <pageSetUpPr fitToPage="false"/>
  </sheetPr>
  <dimension ref="A1:K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5" min="3" style="1" width="18"/>
    <col collapsed="false" customWidth="true" hidden="false" outlineLevel="0" max="7" min="6" style="1" width="3"/>
    <col collapsed="false" customWidth="true" hidden="false" outlineLevel="0" max="8" min="8" style="1" width="22"/>
    <col collapsed="false" customWidth="true" hidden="false" outlineLevel="0" max="11" min="9" style="1" width="18"/>
  </cols>
  <sheetData>
    <row r="1" customFormat="false" ht="24" hidden="false" customHeight="true" outlineLevel="0" collapsed="false">
      <c r="A1" s="21" t="s">
        <v>117</v>
      </c>
      <c r="B1" s="21"/>
      <c r="C1" s="21"/>
      <c r="D1" s="21"/>
      <c r="E1" s="21"/>
      <c r="F1" s="21"/>
      <c r="G1" s="21"/>
      <c r="H1" s="21"/>
      <c r="I1" s="21"/>
      <c r="J1" s="21"/>
      <c r="K1" s="21"/>
    </row>
    <row r="2" customFormat="false" ht="24" hidden="false" customHeight="true" outlineLevel="0" collapsed="false">
      <c r="A2" s="22" t="s">
        <v>118</v>
      </c>
      <c r="B2" s="22"/>
      <c r="C2" s="22"/>
      <c r="D2" s="22"/>
      <c r="E2" s="22"/>
      <c r="F2" s="22"/>
      <c r="G2" s="22"/>
      <c r="H2" s="22"/>
      <c r="I2" s="22"/>
      <c r="J2" s="22"/>
      <c r="K2" s="22"/>
    </row>
    <row r="3" customFormat="false" ht="7.5" hidden="false" customHeight="true" outlineLevel="0" collapsed="false"/>
    <row r="4" customFormat="false" ht="21.75" hidden="false" customHeight="true" outlineLevel="0" collapsed="false">
      <c r="A4" s="40" t="s">
        <v>119</v>
      </c>
      <c r="B4" s="40"/>
      <c r="C4" s="40"/>
      <c r="D4" s="40"/>
      <c r="E4" s="40"/>
    </row>
    <row r="5" customFormat="false" ht="19.5" hidden="false" customHeight="true" outlineLevel="0" collapsed="false">
      <c r="B5" s="41" t="s">
        <v>120</v>
      </c>
      <c r="C5" s="24" t="n">
        <v>3200</v>
      </c>
    </row>
    <row r="6" customFormat="false" ht="19.5" hidden="false" customHeight="true" outlineLevel="0" collapsed="false">
      <c r="B6" s="41" t="s">
        <v>121</v>
      </c>
      <c r="C6" s="24" t="n">
        <v>0</v>
      </c>
    </row>
    <row r="7" customFormat="false" ht="19.5" hidden="false" customHeight="true" outlineLevel="0" collapsed="false">
      <c r="B7" s="41" t="s">
        <v>122</v>
      </c>
      <c r="C7" s="24" t="n">
        <v>0</v>
      </c>
    </row>
    <row r="8" customFormat="false" ht="19.5" hidden="false" customHeight="true" outlineLevel="0" collapsed="false">
      <c r="B8" s="41" t="s">
        <v>123</v>
      </c>
      <c r="C8" s="24" t="n">
        <v>0</v>
      </c>
    </row>
    <row r="9" customFormat="false" ht="19.5" hidden="false" customHeight="true" outlineLevel="0" collapsed="false">
      <c r="B9" s="41" t="s">
        <v>124</v>
      </c>
      <c r="C9" s="24" t="n">
        <v>0</v>
      </c>
    </row>
    <row r="10" customFormat="false" ht="19.5" hidden="false" customHeight="true" outlineLevel="0" collapsed="false">
      <c r="B10" s="41" t="s">
        <v>125</v>
      </c>
      <c r="C10" s="24" t="n">
        <v>0</v>
      </c>
    </row>
    <row r="11" customFormat="false" ht="19.5" hidden="false" customHeight="true" outlineLevel="0" collapsed="false">
      <c r="B11" s="41" t="s">
        <v>126</v>
      </c>
      <c r="C11" s="24" t="n">
        <v>0</v>
      </c>
    </row>
    <row r="12" customFormat="false" ht="19.5" hidden="false" customHeight="true" outlineLevel="0" collapsed="false">
      <c r="B12" s="41" t="s">
        <v>127</v>
      </c>
      <c r="C12" s="24" t="n">
        <v>0</v>
      </c>
    </row>
    <row r="13" customFormat="false" ht="21.75" hidden="false" customHeight="true" outlineLevel="0" collapsed="false">
      <c r="B13" s="11" t="s">
        <v>128</v>
      </c>
      <c r="C13" s="35" t="n">
        <f aca="false">SUM(C5:C12)</f>
        <v>3200</v>
      </c>
    </row>
    <row r="14" customFormat="false" ht="7.5" hidden="false" customHeight="true" outlineLevel="0" collapsed="false"/>
    <row r="15" customFormat="false" ht="21.75" hidden="false" customHeight="true" outlineLevel="0" collapsed="false">
      <c r="A15" s="42" t="s">
        <v>129</v>
      </c>
      <c r="B15" s="42"/>
      <c r="C15" s="42"/>
      <c r="D15" s="42"/>
      <c r="E15" s="42"/>
    </row>
    <row r="16" customFormat="false" ht="19.5" hidden="false" customHeight="true" outlineLevel="0" collapsed="false">
      <c r="B16" s="43" t="s">
        <v>130</v>
      </c>
      <c r="C16" s="43"/>
      <c r="D16" s="43"/>
      <c r="E16" s="43"/>
    </row>
    <row r="17" customFormat="false" ht="19.5" hidden="false" customHeight="true" outlineLevel="0" collapsed="false">
      <c r="B17" s="44" t="s">
        <v>131</v>
      </c>
      <c r="C17" s="24" t="n">
        <v>1100</v>
      </c>
    </row>
    <row r="18" customFormat="false" ht="19.5" hidden="false" customHeight="true" outlineLevel="0" collapsed="false">
      <c r="B18" s="44" t="s">
        <v>132</v>
      </c>
      <c r="C18" s="24" t="n">
        <v>150</v>
      </c>
    </row>
    <row r="19" customFormat="false" ht="19.5" hidden="false" customHeight="true" outlineLevel="0" collapsed="false">
      <c r="B19" s="44" t="s">
        <v>133</v>
      </c>
      <c r="C19" s="24" t="n">
        <v>120</v>
      </c>
    </row>
    <row r="20" customFormat="false" ht="19.5" hidden="false" customHeight="true" outlineLevel="0" collapsed="false">
      <c r="B20" s="44" t="s">
        <v>134</v>
      </c>
      <c r="C20" s="24" t="n">
        <v>35</v>
      </c>
    </row>
    <row r="21" customFormat="false" ht="19.5" hidden="false" customHeight="true" outlineLevel="0" collapsed="false">
      <c r="B21" s="44" t="s">
        <v>135</v>
      </c>
      <c r="C21" s="24" t="n">
        <v>30</v>
      </c>
    </row>
    <row r="22" customFormat="false" ht="19.5" hidden="false" customHeight="true" outlineLevel="0" collapsed="false">
      <c r="B22" s="44" t="s">
        <v>136</v>
      </c>
      <c r="C22" s="24" t="n">
        <v>70</v>
      </c>
    </row>
    <row r="23" customFormat="false" ht="19.5" hidden="false" customHeight="true" outlineLevel="0" collapsed="false">
      <c r="B23" s="43" t="s">
        <v>137</v>
      </c>
      <c r="C23" s="43"/>
      <c r="D23" s="43"/>
      <c r="E23" s="43"/>
    </row>
    <row r="24" customFormat="false" ht="19.5" hidden="false" customHeight="true" outlineLevel="0" collapsed="false">
      <c r="B24" s="44" t="s">
        <v>138</v>
      </c>
      <c r="C24" s="24" t="n">
        <v>250</v>
      </c>
    </row>
    <row r="25" customFormat="false" ht="19.5" hidden="false" customHeight="true" outlineLevel="0" collapsed="false">
      <c r="B25" s="44" t="s">
        <v>139</v>
      </c>
      <c r="C25" s="24" t="n">
        <v>60</v>
      </c>
    </row>
    <row r="26" customFormat="false" ht="19.5" hidden="false" customHeight="true" outlineLevel="0" collapsed="false">
      <c r="B26" s="44" t="s">
        <v>140</v>
      </c>
      <c r="C26" s="24" t="n">
        <v>80</v>
      </c>
    </row>
    <row r="27" customFormat="false" ht="19.5" hidden="false" customHeight="true" outlineLevel="0" collapsed="false">
      <c r="B27" s="44" t="s">
        <v>141</v>
      </c>
      <c r="C27" s="24" t="n">
        <v>100</v>
      </c>
    </row>
    <row r="28" customFormat="false" ht="19.5" hidden="false" customHeight="true" outlineLevel="0" collapsed="false">
      <c r="B28" s="43" t="s">
        <v>142</v>
      </c>
      <c r="C28" s="43"/>
      <c r="D28" s="43"/>
      <c r="E28" s="43"/>
    </row>
    <row r="29" customFormat="false" ht="19.5" hidden="false" customHeight="true" outlineLevel="0" collapsed="false">
      <c r="B29" s="44" t="s">
        <v>143</v>
      </c>
      <c r="C29" s="24" t="n">
        <v>300</v>
      </c>
    </row>
    <row r="30" customFormat="false" ht="19.5" hidden="false" customHeight="true" outlineLevel="0" collapsed="false">
      <c r="B30" s="44" t="s">
        <v>144</v>
      </c>
      <c r="C30" s="24" t="n">
        <v>150</v>
      </c>
    </row>
    <row r="31" customFormat="false" ht="19.5" hidden="false" customHeight="true" outlineLevel="0" collapsed="false">
      <c r="B31" s="44" t="s">
        <v>145</v>
      </c>
      <c r="C31" s="24" t="n">
        <v>40</v>
      </c>
    </row>
    <row r="32" customFormat="false" ht="19.5" hidden="false" customHeight="true" outlineLevel="0" collapsed="false">
      <c r="B32" s="43" t="s">
        <v>146</v>
      </c>
      <c r="C32" s="43"/>
      <c r="D32" s="43"/>
      <c r="E32" s="43"/>
    </row>
    <row r="33" customFormat="false" ht="19.5" hidden="false" customHeight="true" outlineLevel="0" collapsed="false">
      <c r="B33" s="44" t="s">
        <v>147</v>
      </c>
      <c r="C33" s="24" t="n">
        <v>40</v>
      </c>
    </row>
    <row r="34" customFormat="false" ht="19.5" hidden="false" customHeight="true" outlineLevel="0" collapsed="false">
      <c r="B34" s="44" t="s">
        <v>148</v>
      </c>
      <c r="C34" s="24" t="n">
        <v>30</v>
      </c>
    </row>
    <row r="35" customFormat="false" ht="19.5" hidden="false" customHeight="true" outlineLevel="0" collapsed="false">
      <c r="B35" s="44" t="s">
        <v>149</v>
      </c>
      <c r="C35" s="24" t="n">
        <v>20</v>
      </c>
    </row>
    <row r="36" customFormat="false" ht="19.5" hidden="false" customHeight="true" outlineLevel="0" collapsed="false">
      <c r="B36" s="43" t="s">
        <v>150</v>
      </c>
      <c r="C36" s="43"/>
      <c r="D36" s="43"/>
      <c r="E36" s="43"/>
    </row>
    <row r="37" customFormat="false" ht="19.5" hidden="false" customHeight="true" outlineLevel="0" collapsed="false">
      <c r="B37" s="44" t="s">
        <v>151</v>
      </c>
      <c r="C37" s="24" t="n">
        <v>30</v>
      </c>
    </row>
    <row r="38" customFormat="false" ht="19.5" hidden="false" customHeight="true" outlineLevel="0" collapsed="false">
      <c r="B38" s="44" t="s">
        <v>152</v>
      </c>
      <c r="C38" s="24" t="n">
        <v>20</v>
      </c>
    </row>
    <row r="39" customFormat="false" ht="19.5" hidden="false" customHeight="true" outlineLevel="0" collapsed="false">
      <c r="B39" s="44" t="s">
        <v>153</v>
      </c>
      <c r="C39" s="24" t="n">
        <v>80</v>
      </c>
    </row>
    <row r="40" customFormat="false" ht="19.5" hidden="false" customHeight="true" outlineLevel="0" collapsed="false">
      <c r="B40" s="44" t="s">
        <v>154</v>
      </c>
      <c r="C40" s="24" t="n">
        <v>100</v>
      </c>
    </row>
    <row r="41" customFormat="false" ht="19.5" hidden="false" customHeight="true" outlineLevel="0" collapsed="false">
      <c r="B41" s="43" t="s">
        <v>155</v>
      </c>
      <c r="C41" s="43"/>
      <c r="D41" s="43"/>
      <c r="E41" s="43"/>
    </row>
    <row r="42" customFormat="false" ht="19.5" hidden="false" customHeight="true" outlineLevel="0" collapsed="false">
      <c r="B42" s="44" t="s">
        <v>156</v>
      </c>
      <c r="C42" s="24" t="n">
        <v>0</v>
      </c>
    </row>
    <row r="43" customFormat="false" ht="19.5" hidden="false" customHeight="true" outlineLevel="0" collapsed="false">
      <c r="B43" s="44" t="s">
        <v>157</v>
      </c>
      <c r="C43" s="24" t="n">
        <v>0</v>
      </c>
    </row>
    <row r="44" customFormat="false" ht="19.5" hidden="false" customHeight="true" outlineLevel="0" collapsed="false">
      <c r="B44" s="44" t="s">
        <v>158</v>
      </c>
      <c r="C44" s="24" t="n">
        <v>50</v>
      </c>
    </row>
    <row r="45" customFormat="false" ht="19.5" hidden="false" customHeight="true" outlineLevel="0" collapsed="false">
      <c r="B45" s="44" t="s">
        <v>159</v>
      </c>
      <c r="C45" s="24" t="n">
        <v>30</v>
      </c>
    </row>
    <row r="46" customFormat="false" ht="19.5" hidden="false" customHeight="true" outlineLevel="0" collapsed="false">
      <c r="A46" s="39" t="n">
        <f aca="false">C59</f>
        <v>-347.5</v>
      </c>
      <c r="B46" s="43" t="s">
        <v>160</v>
      </c>
      <c r="C46" s="43"/>
      <c r="D46" s="43"/>
      <c r="E46" s="43"/>
    </row>
    <row r="47" customFormat="false" ht="19.5" hidden="false" customHeight="true" outlineLevel="0" collapsed="false">
      <c r="B47" s="44" t="s">
        <v>161</v>
      </c>
      <c r="C47" s="45" t="n">
        <f aca="false">'💳 Debt Calculator'!D23</f>
        <v>375</v>
      </c>
    </row>
    <row r="48" customFormat="false" ht="19.5" hidden="false" customHeight="true" outlineLevel="0" collapsed="false">
      <c r="A48" s="39" t="n">
        <f aca="false">C60</f>
        <v>-4170</v>
      </c>
      <c r="B48" s="44" t="s">
        <v>162</v>
      </c>
      <c r="C48" s="24" t="n">
        <v>0</v>
      </c>
    </row>
    <row r="49" customFormat="false" ht="19.5" hidden="false" customHeight="true" outlineLevel="0" collapsed="false">
      <c r="A49" s="46" t="n">
        <f aca="false">C61</f>
        <v>-0.10859375</v>
      </c>
      <c r="B49" s="43" t="s">
        <v>163</v>
      </c>
      <c r="C49" s="43"/>
      <c r="D49" s="43"/>
      <c r="E49" s="43"/>
    </row>
    <row r="50" customFormat="false" ht="19.5" hidden="false" customHeight="true" outlineLevel="0" collapsed="false">
      <c r="B50" s="44" t="s">
        <v>164</v>
      </c>
      <c r="C50" s="45" t="n">
        <f aca="false">'🏦 Pension Planner'!C18</f>
        <v>187.5</v>
      </c>
    </row>
    <row r="51" customFormat="false" ht="19.5" hidden="false" customHeight="true" outlineLevel="0" collapsed="false">
      <c r="B51" s="44" t="s">
        <v>165</v>
      </c>
      <c r="C51" s="24" t="n">
        <v>100</v>
      </c>
    </row>
    <row r="52" customFormat="false" ht="19.5" hidden="false" customHeight="true" outlineLevel="0" collapsed="false">
      <c r="B52" s="44" t="s">
        <v>166</v>
      </c>
      <c r="C52" s="24" t="n">
        <v>0</v>
      </c>
    </row>
    <row r="54" customFormat="false" ht="21.75" hidden="false" customHeight="true" outlineLevel="0" collapsed="false">
      <c r="B54" s="11" t="s">
        <v>167</v>
      </c>
      <c r="C54" s="35" t="n">
        <f aca="false">C17+C18+C19+C20+C21+C22+C24+C25+C26+C27+C29+C30+C31+C33+C34+C35+C37+C38+C39+C40+C42+C43+C44+C45+C47+C48+C50+C51+C52</f>
        <v>3547.5</v>
      </c>
    </row>
    <row r="55" customFormat="false" ht="7.5" hidden="false" customHeight="true" outlineLevel="0" collapsed="false"/>
    <row r="56" customFormat="false" ht="21.75" hidden="false" customHeight="true" outlineLevel="0" collapsed="false">
      <c r="A56" s="10" t="s">
        <v>168</v>
      </c>
      <c r="B56" s="10"/>
      <c r="C56" s="10"/>
      <c r="D56" s="10"/>
      <c r="E56" s="10"/>
    </row>
    <row r="57" customFormat="false" ht="21.75" hidden="false" customHeight="true" outlineLevel="0" collapsed="false">
      <c r="B57" s="11" t="s">
        <v>169</v>
      </c>
      <c r="C57" s="31" t="n">
        <f aca="false">C13</f>
        <v>3200</v>
      </c>
    </row>
    <row r="58" customFormat="false" ht="21.75" hidden="false" customHeight="true" outlineLevel="0" collapsed="false">
      <c r="B58" s="11" t="s">
        <v>170</v>
      </c>
      <c r="C58" s="31" t="n">
        <f aca="false">C54</f>
        <v>3547.5</v>
      </c>
    </row>
    <row r="59" customFormat="false" ht="21.75" hidden="false" customHeight="true" outlineLevel="0" collapsed="false">
      <c r="B59" s="11" t="s">
        <v>171</v>
      </c>
      <c r="C59" s="47" t="n">
        <f aca="false">C13-C54</f>
        <v>-347.5</v>
      </c>
    </row>
    <row r="60" customFormat="false" ht="21.75" hidden="false" customHeight="true" outlineLevel="0" collapsed="false">
      <c r="B60" s="11" t="s">
        <v>172</v>
      </c>
      <c r="C60" s="47" t="n">
        <f aca="false">(C13-C54)*12</f>
        <v>-4170</v>
      </c>
    </row>
    <row r="61" customFormat="false" ht="21.75" hidden="false" customHeight="true" outlineLevel="0" collapsed="false">
      <c r="B61" s="11" t="s">
        <v>12</v>
      </c>
      <c r="C61" s="48" t="n">
        <f aca="false">IFERROR((C13-C54)/C13,0)</f>
        <v>-0.10859375</v>
      </c>
    </row>
    <row r="62" customFormat="false" ht="21.75" hidden="false" customHeight="true" outlineLevel="0" collapsed="false">
      <c r="B62" s="11" t="s">
        <v>173</v>
      </c>
      <c r="C62" s="31" t="n">
        <f aca="false">C54*3</f>
        <v>10642.5</v>
      </c>
    </row>
    <row r="64" customFormat="false" ht="21.75" hidden="false" customHeight="true" outlineLevel="0" collapsed="false">
      <c r="A64" s="34" t="s">
        <v>174</v>
      </c>
      <c r="B64" s="34"/>
      <c r="C64" s="34"/>
      <c r="D64" s="34"/>
      <c r="E64" s="34"/>
    </row>
    <row r="65" customFormat="false" ht="15" hidden="false" customHeight="true" outlineLevel="0" collapsed="false">
      <c r="B65" s="49" t="s">
        <v>175</v>
      </c>
      <c r="C65" s="49" t="s">
        <v>176</v>
      </c>
      <c r="D65" s="49" t="s">
        <v>177</v>
      </c>
      <c r="E65" s="49" t="s">
        <v>178</v>
      </c>
    </row>
    <row r="66" customFormat="false" ht="21.75" hidden="false" customHeight="true" outlineLevel="0" collapsed="false">
      <c r="B66" s="41" t="s">
        <v>179</v>
      </c>
      <c r="C66" s="31" t="n">
        <f aca="false">C17+C18+C19+C20+C21+C22+C27+C29+C31+C35+C47+C50</f>
        <v>2527.5</v>
      </c>
      <c r="D66" s="50" t="n">
        <f aca="false">IFERROR((C17+C18+C19+C20+C21+C22+C27+C29+C31+C35+C47+C50)/C13,0)</f>
        <v>0.78984375</v>
      </c>
      <c r="E66" s="51" t="s">
        <v>180</v>
      </c>
    </row>
    <row r="67" customFormat="false" ht="21.75" hidden="false" customHeight="true" outlineLevel="0" collapsed="false">
      <c r="B67" s="41" t="s">
        <v>181</v>
      </c>
      <c r="C67" s="31" t="n">
        <f aca="false">C30+C33+C34+C37+C38+C39+C40+C42+C43+C44+C45</f>
        <v>530</v>
      </c>
      <c r="D67" s="50" t="n">
        <f aca="false">IFERROR((C30+C33+C34+C37+C38+C39+C40+C42+C43+C44+C45)/C13,0)</f>
        <v>0.165625</v>
      </c>
      <c r="E67" s="51" t="s">
        <v>182</v>
      </c>
    </row>
    <row r="68" customFormat="false" ht="21.75" hidden="false" customHeight="true" outlineLevel="0" collapsed="false">
      <c r="B68" s="41" t="s">
        <v>183</v>
      </c>
      <c r="C68" s="31" t="n">
        <f aca="false">MAX(0,C13-(C17+C18+C19+C20+C21+C22+C27+C29+C31+C35+C47+C50)-(C30+C33+C34+C37+C38+C39+C40+C42+C43+C44+C45))</f>
        <v>142.5</v>
      </c>
      <c r="D68" s="50" t="n">
        <f aca="false">IFERROR(MAX(0,C13-(C17+C18+C19+C20+C21+C22+C27+C29+C31+C35+C47+C50)-(C30+C33+C34+C37+C38+C39+C40+C42+C43+C44+C45))/C13,0)</f>
        <v>0.04453125</v>
      </c>
      <c r="E68" s="51" t="s">
        <v>184</v>
      </c>
    </row>
  </sheetData>
  <mergeCells count="14">
    <mergeCell ref="A1:K1"/>
    <mergeCell ref="A2:K2"/>
    <mergeCell ref="A4:E4"/>
    <mergeCell ref="A15:E15"/>
    <mergeCell ref="B16:E16"/>
    <mergeCell ref="B23:E23"/>
    <mergeCell ref="B28:E28"/>
    <mergeCell ref="B32:E32"/>
    <mergeCell ref="B36:E36"/>
    <mergeCell ref="B41:E41"/>
    <mergeCell ref="B46:E46"/>
    <mergeCell ref="B49:E49"/>
    <mergeCell ref="A56:E56"/>
    <mergeCell ref="A64:E6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AE60"/>
    <pageSetUpPr fitToPage="false"/>
  </sheetPr>
  <dimension ref="A1:I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40"/>
    <col collapsed="false" customWidth="true" hidden="false" outlineLevel="0" max="4" min="3" style="1" width="20"/>
    <col collapsed="false" customWidth="true" hidden="false" outlineLevel="0" max="6" min="5" style="1" width="3"/>
    <col collapsed="false" customWidth="true" hidden="false" outlineLevel="0" max="7" min="7" style="1" width="35"/>
    <col collapsed="false" customWidth="true" hidden="false" outlineLevel="0" max="9" min="8" style="1" width="20"/>
  </cols>
  <sheetData>
    <row r="1" customFormat="false" ht="24" hidden="false" customHeight="true" outlineLevel="0" collapsed="false">
      <c r="A1" s="21" t="s">
        <v>185</v>
      </c>
      <c r="B1" s="21"/>
      <c r="C1" s="21"/>
      <c r="D1" s="21"/>
      <c r="E1" s="21"/>
      <c r="F1" s="21"/>
      <c r="G1" s="21"/>
      <c r="H1" s="21"/>
      <c r="I1" s="21"/>
    </row>
    <row r="2" customFormat="false" ht="24" hidden="false" customHeight="true" outlineLevel="0" collapsed="false">
      <c r="A2" s="22" t="s">
        <v>186</v>
      </c>
      <c r="B2" s="22"/>
      <c r="C2" s="22"/>
      <c r="D2" s="22"/>
      <c r="E2" s="22"/>
      <c r="F2" s="22"/>
      <c r="G2" s="22"/>
      <c r="H2" s="22"/>
      <c r="I2" s="22"/>
    </row>
    <row r="3" customFormat="false" ht="7.5" hidden="false" customHeight="true" outlineLevel="0" collapsed="false"/>
    <row r="4" customFormat="false" ht="21.75" hidden="false" customHeight="true" outlineLevel="0" collapsed="false">
      <c r="A4" s="40" t="s">
        <v>187</v>
      </c>
      <c r="B4" s="40"/>
      <c r="C4" s="40"/>
      <c r="D4" s="40"/>
    </row>
    <row r="5" customFormat="false" ht="21.75" hidden="false" customHeight="true" outlineLevel="0" collapsed="false">
      <c r="B5" s="41" t="s">
        <v>188</v>
      </c>
      <c r="C5" s="52" t="n">
        <v>35</v>
      </c>
      <c r="D5" s="53" t="s">
        <v>189</v>
      </c>
    </row>
    <row r="6" customFormat="false" ht="21.75" hidden="false" customHeight="true" outlineLevel="0" collapsed="false">
      <c r="B6" s="41" t="s">
        <v>190</v>
      </c>
      <c r="C6" s="52" t="n">
        <v>67</v>
      </c>
      <c r="D6" s="53" t="s">
        <v>189</v>
      </c>
    </row>
    <row r="7" customFormat="false" ht="21.75" hidden="false" customHeight="true" outlineLevel="0" collapsed="false">
      <c r="B7" s="41" t="s">
        <v>191</v>
      </c>
      <c r="C7" s="24" t="n">
        <v>25000</v>
      </c>
    </row>
    <row r="8" customFormat="false" ht="21.75" hidden="false" customHeight="true" outlineLevel="0" collapsed="false">
      <c r="B8" s="41" t="s">
        <v>192</v>
      </c>
      <c r="C8" s="24" t="n">
        <v>45000</v>
      </c>
    </row>
    <row r="9" customFormat="false" ht="21.75" hidden="false" customHeight="true" outlineLevel="0" collapsed="false">
      <c r="B9" s="41" t="s">
        <v>193</v>
      </c>
      <c r="C9" s="54" t="n">
        <v>0.05</v>
      </c>
      <c r="D9" s="53" t="s">
        <v>194</v>
      </c>
    </row>
    <row r="10" customFormat="false" ht="21.75" hidden="false" customHeight="true" outlineLevel="0" collapsed="false">
      <c r="B10" s="41" t="s">
        <v>195</v>
      </c>
      <c r="C10" s="54" t="n">
        <v>0.03</v>
      </c>
      <c r="D10" s="53" t="s">
        <v>194</v>
      </c>
    </row>
    <row r="11" customFormat="false" ht="21.75" hidden="false" customHeight="true" outlineLevel="0" collapsed="false">
      <c r="B11" s="41" t="s">
        <v>196</v>
      </c>
      <c r="C11" s="54" t="n">
        <v>0.02</v>
      </c>
      <c r="D11" s="53" t="s">
        <v>197</v>
      </c>
    </row>
    <row r="12" customFormat="false" ht="21.75" hidden="false" customHeight="true" outlineLevel="0" collapsed="false">
      <c r="B12" s="41" t="s">
        <v>198</v>
      </c>
      <c r="C12" s="54" t="n">
        <v>0.06</v>
      </c>
      <c r="D12" s="53" t="s">
        <v>199</v>
      </c>
    </row>
    <row r="13" customFormat="false" ht="21.75" hidden="false" customHeight="true" outlineLevel="0" collapsed="false">
      <c r="B13" s="41" t="s">
        <v>200</v>
      </c>
      <c r="C13" s="54" t="n">
        <v>0.025</v>
      </c>
      <c r="D13" s="53" t="s">
        <v>201</v>
      </c>
    </row>
    <row r="14" customFormat="false" ht="21.75" hidden="false" customHeight="true" outlineLevel="0" collapsed="false">
      <c r="B14" s="41" t="s">
        <v>202</v>
      </c>
      <c r="C14" s="55" t="n">
        <v>11502</v>
      </c>
      <c r="D14" s="53" t="s">
        <v>203</v>
      </c>
    </row>
    <row r="16" customFormat="false" ht="7.5" hidden="false" customHeight="true" outlineLevel="0" collapsed="false"/>
    <row r="17" customFormat="false" ht="21.75" hidden="false" customHeight="true" outlineLevel="0" collapsed="false">
      <c r="A17" s="56" t="s">
        <v>204</v>
      </c>
      <c r="B17" s="56"/>
      <c r="C17" s="56"/>
      <c r="D17" s="56"/>
    </row>
    <row r="18" customFormat="false" ht="19.5" hidden="false" customHeight="true" outlineLevel="0" collapsed="false">
      <c r="B18" s="11" t="s">
        <v>205</v>
      </c>
      <c r="C18" s="31" t="n">
        <f aca="false">ROUND(C8*C9/12,2)</f>
        <v>187.5</v>
      </c>
    </row>
    <row r="19" customFormat="false" ht="19.5" hidden="false" customHeight="true" outlineLevel="0" collapsed="false">
      <c r="B19" s="11" t="s">
        <v>206</v>
      </c>
      <c r="C19" s="31" t="n">
        <f aca="false">ROUND(C8*C10/12,2)</f>
        <v>112.5</v>
      </c>
    </row>
    <row r="20" customFormat="false" ht="19.5" hidden="false" customHeight="true" outlineLevel="0" collapsed="false">
      <c r="B20" s="11" t="s">
        <v>207</v>
      </c>
      <c r="C20" s="31" t="n">
        <f aca="false">C18+C19</f>
        <v>300</v>
      </c>
    </row>
    <row r="21" customFormat="false" ht="19.5" hidden="false" customHeight="true" outlineLevel="0" collapsed="false">
      <c r="B21" s="11" t="s">
        <v>208</v>
      </c>
      <c r="C21" s="32" t="n">
        <f aca="false">C6-C5</f>
        <v>32</v>
      </c>
    </row>
    <row r="22" customFormat="false" ht="19.5" hidden="false" customHeight="true" outlineLevel="0" collapsed="false">
      <c r="B22" s="11" t="s">
        <v>209</v>
      </c>
      <c r="C22" s="32" t="n">
        <f aca="false">(C6-C5)*12</f>
        <v>384</v>
      </c>
    </row>
    <row r="24" customFormat="false" ht="21.75" hidden="false" customHeight="true" outlineLevel="0" collapsed="false">
      <c r="A24" s="10" t="s">
        <v>210</v>
      </c>
      <c r="B24" s="10"/>
      <c r="C24" s="10"/>
      <c r="D24" s="10"/>
      <c r="E24" s="10"/>
      <c r="F24" s="10"/>
      <c r="G24" s="10"/>
      <c r="H24" s="10"/>
      <c r="I24" s="10"/>
    </row>
    <row r="25" customFormat="false" ht="21.75" hidden="false" customHeight="true" outlineLevel="0" collapsed="false">
      <c r="B25" s="41" t="s">
        <v>211</v>
      </c>
      <c r="C25" s="31" t="n">
        <f aca="false">C7*(1+C12)^(C6-C5)</f>
        <v>161334.667047133</v>
      </c>
    </row>
    <row r="26" customFormat="false" ht="21.75" hidden="false" customHeight="true" outlineLevel="0" collapsed="false">
      <c r="B26" s="41" t="s">
        <v>212</v>
      </c>
      <c r="C26" s="31" t="n">
        <f aca="false">IFERROR(C20*((1+C12/12)^C22-1)/(C12/12),0)</f>
        <v>347304.271706068</v>
      </c>
    </row>
    <row r="27" customFormat="false" ht="21.75" hidden="false" customHeight="true" outlineLevel="0" collapsed="false">
      <c r="B27" s="11" t="s">
        <v>213</v>
      </c>
      <c r="C27" s="57" t="n">
        <f aca="false">C25+C26</f>
        <v>508638.938753202</v>
      </c>
    </row>
    <row r="28" customFormat="false" ht="21.75" hidden="false" customHeight="true" outlineLevel="0" collapsed="false">
      <c r="B28" s="41" t="s">
        <v>214</v>
      </c>
      <c r="C28" s="31" t="n">
        <f aca="false">C27*0.04</f>
        <v>20345.5575501281</v>
      </c>
    </row>
    <row r="29" customFormat="false" ht="21.75" hidden="false" customHeight="true" outlineLevel="0" collapsed="false">
      <c r="B29" s="41" t="s">
        <v>215</v>
      </c>
      <c r="C29" s="31" t="n">
        <f aca="false">C27*0.04/12</f>
        <v>1695.46312917734</v>
      </c>
    </row>
    <row r="30" customFormat="false" ht="21.75" hidden="false" customHeight="true" outlineLevel="0" collapsed="false">
      <c r="B30" s="41" t="s">
        <v>216</v>
      </c>
      <c r="C30" s="31" t="n">
        <f aca="false">C14</f>
        <v>11502</v>
      </c>
    </row>
    <row r="31" customFormat="false" ht="21.75" hidden="false" customHeight="true" outlineLevel="0" collapsed="false">
      <c r="B31" s="11" t="s">
        <v>217</v>
      </c>
      <c r="C31" s="57" t="n">
        <f aca="false">C27*0.04+C14</f>
        <v>31847.5575501281</v>
      </c>
    </row>
    <row r="33" customFormat="false" ht="21.75" hidden="false" customHeight="true" outlineLevel="0" collapsed="false">
      <c r="A33" s="34" t="s">
        <v>218</v>
      </c>
      <c r="B33" s="34"/>
      <c r="C33" s="34"/>
      <c r="D33" s="34"/>
      <c r="E33" s="34"/>
      <c r="F33" s="34"/>
      <c r="G33" s="34"/>
      <c r="H33" s="34"/>
      <c r="I33" s="34"/>
    </row>
    <row r="34" customFormat="false" ht="21.75" hidden="false" customHeight="true" outlineLevel="0" collapsed="false">
      <c r="B34" s="11" t="s">
        <v>219</v>
      </c>
      <c r="C34" s="24" t="n">
        <v>30000</v>
      </c>
    </row>
    <row r="35" customFormat="false" ht="21.75" hidden="false" customHeight="true" outlineLevel="0" collapsed="false">
      <c r="B35" s="11" t="s">
        <v>220</v>
      </c>
      <c r="C35" s="52" t="n">
        <v>1</v>
      </c>
    </row>
    <row r="36" customFormat="false" ht="21.75" hidden="false" customHeight="true" outlineLevel="0" collapsed="false">
      <c r="B36" s="41" t="s">
        <v>221</v>
      </c>
      <c r="C36" s="31" t="n">
        <f aca="false">C34-IF(C35=1,C14,0)</f>
        <v>18498</v>
      </c>
    </row>
    <row r="37" customFormat="false" ht="21.75" hidden="false" customHeight="true" outlineLevel="0" collapsed="false">
      <c r="B37" s="41" t="s">
        <v>222</v>
      </c>
      <c r="C37" s="31" t="n">
        <f aca="false">C36*25</f>
        <v>462450</v>
      </c>
    </row>
    <row r="38" customFormat="false" ht="21.75" hidden="false" customHeight="true" outlineLevel="0" collapsed="false">
      <c r="B38" s="41" t="s">
        <v>223</v>
      </c>
      <c r="C38" s="31" t="n">
        <f aca="false">C27</f>
        <v>508638.938753202</v>
      </c>
    </row>
    <row r="39" customFormat="false" ht="21.75" hidden="false" customHeight="true" outlineLevel="0" collapsed="false">
      <c r="B39" s="11" t="s">
        <v>224</v>
      </c>
      <c r="C39" s="57" t="n">
        <f aca="false">C27-C37</f>
        <v>46188.9387532016</v>
      </c>
    </row>
    <row r="40" customFormat="false" ht="21.75" hidden="false" customHeight="true" outlineLevel="0" collapsed="false">
      <c r="B40" s="11" t="s">
        <v>225</v>
      </c>
      <c r="C40" s="58" t="str">
        <f aca="false">IF(C27&gt;=C37,"✅ YES — on track!","⚠️ SHORTFALL — see below")</f>
        <v>✅ YES — on track!</v>
      </c>
    </row>
    <row r="41" customFormat="false" ht="21.75" hidden="false" customHeight="true" outlineLevel="0" collapsed="false">
      <c r="B41" s="11" t="s">
        <v>226</v>
      </c>
      <c r="C41" s="57" t="n">
        <f aca="false">IFERROR(IF(C27&gt;=C37,0,(C37-C25)*(C12/12)/((1+C12/12)^C22-1)-C20),0)</f>
        <v>0</v>
      </c>
    </row>
    <row r="44" customFormat="false" ht="21.75" hidden="false" customHeight="true" outlineLevel="0" collapsed="false">
      <c r="A44" s="10" t="s">
        <v>227</v>
      </c>
      <c r="B44" s="10"/>
      <c r="C44" s="10"/>
      <c r="D44" s="10"/>
      <c r="E44" s="10"/>
      <c r="F44" s="10"/>
      <c r="G44" s="10"/>
      <c r="H44" s="10"/>
      <c r="I44" s="10"/>
    </row>
    <row r="45" customFormat="false" ht="21.75" hidden="false" customHeight="true" outlineLevel="0" collapsed="false">
      <c r="B45" s="49" t="s">
        <v>228</v>
      </c>
      <c r="C45" s="49" t="s">
        <v>229</v>
      </c>
      <c r="D45" s="49" t="s">
        <v>230</v>
      </c>
      <c r="E45" s="49" t="s">
        <v>231</v>
      </c>
      <c r="F45" s="49" t="s">
        <v>232</v>
      </c>
      <c r="G45" s="49" t="s">
        <v>233</v>
      </c>
      <c r="H45" s="49" t="s">
        <v>234</v>
      </c>
    </row>
    <row r="46" customFormat="false" ht="18" hidden="false" customHeight="true" outlineLevel="0" collapsed="false">
      <c r="B46" s="59" t="n">
        <v>2026</v>
      </c>
      <c r="C46" s="60" t="n">
        <f aca="false">C5+0</f>
        <v>35</v>
      </c>
      <c r="D46" s="61" t="n">
        <f aca="false">IF(C5+0&lt;=C6,C20*12,"")</f>
        <v>3600</v>
      </c>
      <c r="E46" s="61" t="n">
        <f aca="false">IF(C5+0&lt;=C6,C7,"")</f>
        <v>25000</v>
      </c>
      <c r="F46" s="61" t="n">
        <f aca="false">IF(C5+0&lt;=C6,E46*C12,"")</f>
        <v>1500</v>
      </c>
      <c r="G46" s="62" t="n">
        <f aca="false">IF(C5+0&lt;=C6,E46+F46+D46,"")</f>
        <v>30100</v>
      </c>
      <c r="H46" s="63" t="n">
        <f aca="false">IF(C5+0&lt;=C6,G46/(1+C13)^1,"")</f>
        <v>29365.8536585366</v>
      </c>
    </row>
    <row r="47" customFormat="false" ht="18" hidden="false" customHeight="true" outlineLevel="0" collapsed="false">
      <c r="B47" s="59" t="n">
        <v>2027</v>
      </c>
      <c r="C47" s="60" t="n">
        <f aca="false">C5+1</f>
        <v>36</v>
      </c>
      <c r="D47" s="61" t="n">
        <f aca="false">IF(C5+1&lt;=C6,C20*12,"")</f>
        <v>3600</v>
      </c>
      <c r="E47" s="61" t="n">
        <f aca="false">IF(C5+1&lt;=C6,G46,"")</f>
        <v>30100</v>
      </c>
      <c r="F47" s="61" t="n">
        <f aca="false">IF(C5+1&lt;=C6,E47*C12,"")</f>
        <v>1806</v>
      </c>
      <c r="G47" s="62" t="n">
        <f aca="false">IF(C5+1&lt;=C6,E47+F47+D47,"")</f>
        <v>35506</v>
      </c>
      <c r="H47" s="63" t="n">
        <f aca="false">IF(C5+1&lt;=C6,G47/(1+C13)^2,"")</f>
        <v>33795.1219512195</v>
      </c>
    </row>
    <row r="48" customFormat="false" ht="18" hidden="false" customHeight="true" outlineLevel="0" collapsed="false">
      <c r="B48" s="59" t="n">
        <v>2028</v>
      </c>
      <c r="C48" s="60" t="n">
        <f aca="false">C5+2</f>
        <v>37</v>
      </c>
      <c r="D48" s="61" t="n">
        <f aca="false">IF(C5+2&lt;=C6,C20*12,"")</f>
        <v>3600</v>
      </c>
      <c r="E48" s="61" t="n">
        <f aca="false">IF(C5+2&lt;=C6,G47,"")</f>
        <v>35506</v>
      </c>
      <c r="F48" s="61" t="n">
        <f aca="false">IF(C5+2&lt;=C6,E48*C12,"")</f>
        <v>2130.36</v>
      </c>
      <c r="G48" s="62" t="n">
        <f aca="false">IF(C5+2&lt;=C6,E48+F48+D48,"")</f>
        <v>41236.36</v>
      </c>
      <c r="H48" s="63" t="n">
        <f aca="false">IF(C5+2&lt;=C6,G48/(1+C13)^3,"")</f>
        <v>38292.0596044747</v>
      </c>
    </row>
    <row r="49" customFormat="false" ht="18" hidden="false" customHeight="true" outlineLevel="0" collapsed="false">
      <c r="B49" s="59" t="n">
        <v>2029</v>
      </c>
      <c r="C49" s="60" t="n">
        <f aca="false">C5+3</f>
        <v>38</v>
      </c>
      <c r="D49" s="61" t="n">
        <f aca="false">IF(C5+3&lt;=C6,C20*12,"")</f>
        <v>3600</v>
      </c>
      <c r="E49" s="61" t="n">
        <f aca="false">IF(C5+3&lt;=C6,G48,"")</f>
        <v>41236.36</v>
      </c>
      <c r="F49" s="61" t="n">
        <f aca="false">IF(C5+3&lt;=C6,E49*C12,"")</f>
        <v>2474.1816</v>
      </c>
      <c r="G49" s="62" t="n">
        <f aca="false">IF(C5+3&lt;=C6,E49+F49+D49,"")</f>
        <v>47310.5416</v>
      </c>
      <c r="H49" s="63" t="n">
        <f aca="false">IF(C5+3&lt;=C6,G49/(1+C13)^4,"")</f>
        <v>42861.0156683456</v>
      </c>
    </row>
    <row r="50" customFormat="false" ht="18" hidden="false" customHeight="true" outlineLevel="0" collapsed="false">
      <c r="B50" s="59" t="n">
        <v>2030</v>
      </c>
      <c r="C50" s="60" t="n">
        <f aca="false">C5+4</f>
        <v>39</v>
      </c>
      <c r="D50" s="61" t="n">
        <f aca="false">IF(C5+4&lt;=C6,C20*12,"")</f>
        <v>3600</v>
      </c>
      <c r="E50" s="61" t="n">
        <f aca="false">IF(C5+4&lt;=C6,G49,"")</f>
        <v>47310.5416</v>
      </c>
      <c r="F50" s="61" t="n">
        <f aca="false">IF(C5+4&lt;=C6,E50*C12,"")</f>
        <v>2838.632496</v>
      </c>
      <c r="G50" s="62" t="n">
        <f aca="false">IF(C5+4&lt;=C6,E50+F50+D50,"")</f>
        <v>53749.174096</v>
      </c>
      <c r="H50" s="63" t="n">
        <f aca="false">IF(C5+4&lt;=C6,G50/(1+C13)^5,"")</f>
        <v>47506.43798022</v>
      </c>
    </row>
    <row r="51" customFormat="false" ht="18" hidden="false" customHeight="true" outlineLevel="0" collapsed="false">
      <c r="B51" s="59" t="n">
        <v>2031</v>
      </c>
      <c r="C51" s="60" t="n">
        <f aca="false">C5+5</f>
        <v>40</v>
      </c>
      <c r="D51" s="61" t="n">
        <f aca="false">IF(C5+5&lt;=C6,C20*12,"")</f>
        <v>3600</v>
      </c>
      <c r="E51" s="61" t="n">
        <f aca="false">IF(C5+5&lt;=C6,G50,"")</f>
        <v>53749.174096</v>
      </c>
      <c r="F51" s="61" t="n">
        <f aca="false">IF(C5+5&lt;=C6,E51*C12,"")</f>
        <v>3224.95044576</v>
      </c>
      <c r="G51" s="62" t="n">
        <f aca="false">IF(C5+5&lt;=C6,E51+F51+D51,"")</f>
        <v>60574.12454176</v>
      </c>
      <c r="H51" s="63" t="n">
        <f aca="false">IF(C5+5&lt;=C6,G51/(1+C13)^6,"")</f>
        <v>52232.8777506609</v>
      </c>
    </row>
    <row r="52" customFormat="false" ht="18" hidden="false" customHeight="true" outlineLevel="0" collapsed="false">
      <c r="B52" s="59" t="n">
        <v>2032</v>
      </c>
      <c r="C52" s="60" t="n">
        <f aca="false">C5+6</f>
        <v>41</v>
      </c>
      <c r="D52" s="61" t="n">
        <f aca="false">IF(C5+6&lt;=C6,C20*12,"")</f>
        <v>3600</v>
      </c>
      <c r="E52" s="61" t="n">
        <f aca="false">IF(C5+6&lt;=C6,G51,"")</f>
        <v>60574.12454176</v>
      </c>
      <c r="F52" s="61" t="n">
        <f aca="false">IF(C5+6&lt;=C6,E52*C12,"")</f>
        <v>3634.4474725056</v>
      </c>
      <c r="G52" s="62" t="n">
        <f aca="false">IF(C5+6&lt;=C6,E52+F52+D52,"")</f>
        <v>67808.5720142656</v>
      </c>
      <c r="H52" s="63" t="n">
        <f aca="false">IF(C5+6&lt;=C6,G52/(1+C13)^7,"")</f>
        <v>57044.9942762521</v>
      </c>
    </row>
    <row r="53" customFormat="false" ht="18" hidden="false" customHeight="true" outlineLevel="0" collapsed="false">
      <c r="B53" s="59" t="n">
        <v>2033</v>
      </c>
      <c r="C53" s="60" t="n">
        <f aca="false">C5+7</f>
        <v>42</v>
      </c>
      <c r="D53" s="61" t="n">
        <f aca="false">IF(C5+7&lt;=C6,C20*12,"")</f>
        <v>3600</v>
      </c>
      <c r="E53" s="61" t="n">
        <f aca="false">IF(C5+7&lt;=C6,G52,"")</f>
        <v>67808.5720142656</v>
      </c>
      <c r="F53" s="61" t="n">
        <f aca="false">IF(C5+7&lt;=C6,E53*C12,"")</f>
        <v>4068.51432085594</v>
      </c>
      <c r="G53" s="62" t="n">
        <f aca="false">IF(C5+7&lt;=C6,E53+F53+D53,"")</f>
        <v>75477.0863351215</v>
      </c>
      <c r="H53" s="63" t="n">
        <f aca="false">IF(C5+7&lt;=C6,G53/(1+C13)^8,"")</f>
        <v>61947.5597845147</v>
      </c>
    </row>
    <row r="54" customFormat="false" ht="18" hidden="false" customHeight="true" outlineLevel="0" collapsed="false">
      <c r="B54" s="59" t="n">
        <v>2034</v>
      </c>
      <c r="C54" s="60" t="n">
        <f aca="false">C5+8</f>
        <v>43</v>
      </c>
      <c r="D54" s="61" t="n">
        <f aca="false">IF(C5+8&lt;=C6,C20*12,"")</f>
        <v>3600</v>
      </c>
      <c r="E54" s="61" t="n">
        <f aca="false">IF(C5+8&lt;=C6,G53,"")</f>
        <v>75477.0863351215</v>
      </c>
      <c r="F54" s="61" t="n">
        <f aca="false">IF(C5+8&lt;=C6,E54*C12,"")</f>
        <v>4528.62518010729</v>
      </c>
      <c r="G54" s="62" t="n">
        <f aca="false">IF(C5+8&lt;=C6,E54+F54+D54,"")</f>
        <v>83605.7115152288</v>
      </c>
      <c r="H54" s="63" t="n">
        <f aca="false">IF(C5+8&lt;=C6,G54/(1+C13)^9,"")</f>
        <v>66945.46441611</v>
      </c>
    </row>
    <row r="55" customFormat="false" ht="18" hidden="false" customHeight="true" outlineLevel="0" collapsed="false">
      <c r="B55" s="59" t="n">
        <v>2035</v>
      </c>
      <c r="C55" s="60" t="n">
        <f aca="false">C5+9</f>
        <v>44</v>
      </c>
      <c r="D55" s="61" t="n">
        <f aca="false">IF(C5+9&lt;=C6,C20*12,"")</f>
        <v>3600</v>
      </c>
      <c r="E55" s="61" t="n">
        <f aca="false">IF(C5+9&lt;=C6,G54,"")</f>
        <v>83605.7115152288</v>
      </c>
      <c r="F55" s="61" t="n">
        <f aca="false">IF(C5+9&lt;=C6,E55*C12,"")</f>
        <v>5016.34269091373</v>
      </c>
      <c r="G55" s="62" t="n">
        <f aca="false">IF(C5+9&lt;=C6,E55+F55+D55,"")</f>
        <v>92222.0542061426</v>
      </c>
      <c r="H55" s="63" t="n">
        <f aca="false">IF(C5+9&lt;=C6,G55/(1+C13)^10,"")</f>
        <v>72043.721349702</v>
      </c>
    </row>
    <row r="56" customFormat="false" ht="18" hidden="false" customHeight="true" outlineLevel="0" collapsed="false">
      <c r="B56" s="59" t="n">
        <v>2036</v>
      </c>
      <c r="C56" s="60" t="n">
        <f aca="false">C5+10</f>
        <v>45</v>
      </c>
      <c r="D56" s="61" t="n">
        <f aca="false">IF(C5+10&lt;=C6,C20*12,"")</f>
        <v>3600</v>
      </c>
      <c r="E56" s="61" t="n">
        <f aca="false">IF(C5+10&lt;=C6,G55,"")</f>
        <v>92222.0542061426</v>
      </c>
      <c r="F56" s="61" t="n">
        <f aca="false">IF(C5+10&lt;=C6,E56*C12,"")</f>
        <v>5533.32325236855</v>
      </c>
      <c r="G56" s="62" t="n">
        <f aca="false">IF(C5+10&lt;=C6,E56+F56+D56,"")</f>
        <v>101355.377458511</v>
      </c>
      <c r="H56" s="63" t="n">
        <f aca="false">IF(C5+10&lt;=C6,G56/(1+C13)^11,"")</f>
        <v>77247.4720750212</v>
      </c>
    </row>
    <row r="57" customFormat="false" ht="18" hidden="false" customHeight="true" outlineLevel="0" collapsed="false">
      <c r="B57" s="59" t="n">
        <v>2037</v>
      </c>
      <c r="C57" s="60" t="n">
        <f aca="false">C5+11</f>
        <v>46</v>
      </c>
      <c r="D57" s="61" t="n">
        <f aca="false">IF(C5+11&lt;=C6,C20*12,"")</f>
        <v>3600</v>
      </c>
      <c r="E57" s="61" t="n">
        <f aca="false">IF(C5+11&lt;=C6,G56,"")</f>
        <v>101355.377458511</v>
      </c>
      <c r="F57" s="61" t="n">
        <f aca="false">IF(C5+11&lt;=C6,E57*C12,"")</f>
        <v>6081.32264751067</v>
      </c>
      <c r="G57" s="62" t="n">
        <f aca="false">IF(C5+11&lt;=C6,E57+F57+D57,"")</f>
        <v>111036.700106022</v>
      </c>
      <c r="H57" s="63" t="n">
        <f aca="false">IF(C5+11&lt;=C6,G57/(1+C13)^12,"")</f>
        <v>82561.9918198435</v>
      </c>
    </row>
    <row r="58" customFormat="false" ht="18" hidden="false" customHeight="true" outlineLevel="0" collapsed="false">
      <c r="B58" s="59" t="n">
        <v>2038</v>
      </c>
      <c r="C58" s="60" t="n">
        <f aca="false">C5+12</f>
        <v>47</v>
      </c>
      <c r="D58" s="61" t="n">
        <f aca="false">IF(C5+12&lt;=C6,C20*12,"")</f>
        <v>3600</v>
      </c>
      <c r="E58" s="61" t="n">
        <f aca="false">IF(C5+12&lt;=C6,G57,"")</f>
        <v>111036.700106022</v>
      </c>
      <c r="F58" s="61" t="n">
        <f aca="false">IF(C5+12&lt;=C6,E58*C12,"")</f>
        <v>6662.20200636131</v>
      </c>
      <c r="G58" s="62" t="n">
        <f aca="false">IF(C5+12&lt;=C6,E58+F58+D58,"")</f>
        <v>121298.902112383</v>
      </c>
      <c r="H58" s="63" t="n">
        <f aca="false">IF(C5+12&lt;=C6,G58/(1+C13)^13,"")</f>
        <v>87992.6951367778</v>
      </c>
    </row>
    <row r="59" customFormat="false" ht="18" hidden="false" customHeight="true" outlineLevel="0" collapsed="false">
      <c r="B59" s="59" t="n">
        <v>2039</v>
      </c>
      <c r="C59" s="60" t="n">
        <f aca="false">C5+13</f>
        <v>48</v>
      </c>
      <c r="D59" s="61" t="n">
        <f aca="false">IF(C5+13&lt;=C6,C20*12,"")</f>
        <v>3600</v>
      </c>
      <c r="E59" s="61" t="n">
        <f aca="false">IF(C5+13&lt;=C6,G58,"")</f>
        <v>121298.902112383</v>
      </c>
      <c r="F59" s="61" t="n">
        <f aca="false">IF(C5+13&lt;=C6,E59*C12,"")</f>
        <v>7277.93412674298</v>
      </c>
      <c r="G59" s="62" t="n">
        <f aca="false">IF(C5+13&lt;=C6,E59+F59+D59,"")</f>
        <v>132176.836239126</v>
      </c>
      <c r="H59" s="63" t="n">
        <f aca="false">IF(C5+13&lt;=C6,G59/(1+C13)^14,"")</f>
        <v>93545.1416559402</v>
      </c>
    </row>
    <row r="60" customFormat="false" ht="18" hidden="false" customHeight="true" outlineLevel="0" collapsed="false">
      <c r="B60" s="59" t="n">
        <v>2040</v>
      </c>
      <c r="C60" s="64" t="n">
        <f aca="false">C27</f>
        <v>508638.938753202</v>
      </c>
      <c r="D60" s="61" t="n">
        <f aca="false">IF(C5+14&lt;=C6,C20*12,"")</f>
        <v>3600</v>
      </c>
      <c r="E60" s="61" t="n">
        <f aca="false">IF(C5+14&lt;=C6,G59,"")</f>
        <v>132176.836239126</v>
      </c>
      <c r="F60" s="61" t="n">
        <f aca="false">IF(C5+14&lt;=C6,E60*C12,"")</f>
        <v>7930.61017434756</v>
      </c>
      <c r="G60" s="62" t="n">
        <f aca="false">IF(C5+14&lt;=C6,E60+F60+D60,"")</f>
        <v>143707.446413474</v>
      </c>
      <c r="H60" s="63" t="n">
        <f aca="false">IF(C5+14&lt;=C6,G60/(1+C13)^15,"")</f>
        <v>99225.0420097878</v>
      </c>
    </row>
    <row r="61" customFormat="false" ht="18" hidden="false" customHeight="true" outlineLevel="0" collapsed="false">
      <c r="B61" s="59" t="n">
        <v>2041</v>
      </c>
      <c r="C61" s="60" t="n">
        <f aca="false">C5+15</f>
        <v>50</v>
      </c>
      <c r="D61" s="61" t="n">
        <f aca="false">IF(C5+15&lt;=C6,C20*12,"")</f>
        <v>3600</v>
      </c>
      <c r="E61" s="61" t="n">
        <f aca="false">IF(C5+15&lt;=C6,G60,"")</f>
        <v>143707.446413474</v>
      </c>
      <c r="F61" s="61" t="n">
        <f aca="false">IF(C5+15&lt;=C6,E61*C12,"")</f>
        <v>8622.44678480842</v>
      </c>
      <c r="G61" s="62" t="n">
        <f aca="false">IF(C5+15&lt;=C6,E61+F61+D61,"")</f>
        <v>155929.893198282</v>
      </c>
      <c r="H61" s="63" t="n">
        <f aca="false">IF(C5+15&lt;=C6,G61/(1+C13)^16,"")</f>
        <v>105038.263936581</v>
      </c>
    </row>
    <row r="62" customFormat="false" ht="18" hidden="false" customHeight="true" outlineLevel="0" collapsed="false">
      <c r="B62" s="59" t="n">
        <v>2042</v>
      </c>
      <c r="C62" s="60" t="n">
        <f aca="false">C5+16</f>
        <v>51</v>
      </c>
      <c r="D62" s="61" t="n">
        <f aca="false">IF(C5+16&lt;=C6,C20*12,"")</f>
        <v>3600</v>
      </c>
      <c r="E62" s="61" t="n">
        <f aca="false">IF(C5+16&lt;=C6,G61,"")</f>
        <v>155929.893198282</v>
      </c>
      <c r="F62" s="61" t="n">
        <f aca="false">IF(C5+16&lt;=C6,E62*C12,"")</f>
        <v>9355.79359189692</v>
      </c>
      <c r="G62" s="62" t="n">
        <f aca="false">IF(C5+16&lt;=C6,E62+F62+D62,"")</f>
        <v>168885.686790179</v>
      </c>
      <c r="H62" s="63" t="n">
        <f aca="false">IF(C5+16&lt;=C6,G62/(1+C13)^17,"")</f>
        <v>110990.838569152</v>
      </c>
    </row>
    <row r="63" customFormat="false" ht="18" hidden="false" customHeight="true" outlineLevel="0" collapsed="false">
      <c r="B63" s="59" t="n">
        <v>2043</v>
      </c>
      <c r="C63" s="64" t="n">
        <f aca="false">C27-C37</f>
        <v>46188.9387532016</v>
      </c>
      <c r="D63" s="61" t="n">
        <f aca="false">IF(C5+17&lt;=C6,C20*12,"")</f>
        <v>3600</v>
      </c>
      <c r="E63" s="61" t="n">
        <f aca="false">IF(C5+17&lt;=C6,G62,"")</f>
        <v>168885.686790179</v>
      </c>
      <c r="F63" s="61" t="n">
        <f aca="false">IF(C5+17&lt;=C6,E63*C12,"")</f>
        <v>10133.1412074107</v>
      </c>
      <c r="G63" s="62" t="n">
        <f aca="false">IF(C5+17&lt;=C6,E63+F63+D63,"")</f>
        <v>182618.82799759</v>
      </c>
      <c r="H63" s="63" t="n">
        <f aca="false">IF(C5+17&lt;=C6,G63/(1+C13)^18,"")</f>
        <v>117088.966915873</v>
      </c>
    </row>
    <row r="64" customFormat="false" ht="18" hidden="false" customHeight="true" outlineLevel="0" collapsed="false">
      <c r="B64" s="59" t="n">
        <v>2044</v>
      </c>
      <c r="C64" s="60" t="n">
        <f aca="false">C5+18</f>
        <v>53</v>
      </c>
      <c r="D64" s="61" t="n">
        <f aca="false">IF(C5+18&lt;=C6,C20*12,"")</f>
        <v>3600</v>
      </c>
      <c r="E64" s="61" t="n">
        <f aca="false">IF(C5+18&lt;=C6,G63,"")</f>
        <v>182618.82799759</v>
      </c>
      <c r="F64" s="61" t="n">
        <f aca="false">IF(C5+18&lt;=C6,E64*C12,"")</f>
        <v>10957.1296798554</v>
      </c>
      <c r="G64" s="62" t="n">
        <f aca="false">IF(C5+18&lt;=C6,E64+F64+D64,"")</f>
        <v>197175.957677445</v>
      </c>
      <c r="H64" s="63" t="n">
        <f aca="false">IF(C5+18&lt;=C6,G64/(1+C13)^19,"")</f>
        <v>123339.02654093</v>
      </c>
    </row>
    <row r="65" customFormat="false" ht="18" hidden="false" customHeight="true" outlineLevel="0" collapsed="false">
      <c r="B65" s="59" t="n">
        <v>2045</v>
      </c>
      <c r="C65" s="60" t="n">
        <f aca="false">C5+19</f>
        <v>54</v>
      </c>
      <c r="D65" s="61" t="n">
        <f aca="false">IF(C5+19&lt;=C6,C20*12,"")</f>
        <v>3600</v>
      </c>
      <c r="E65" s="61" t="n">
        <f aca="false">IF(C5+19&lt;=C6,G64,"")</f>
        <v>197175.957677445</v>
      </c>
      <c r="F65" s="61" t="n">
        <f aca="false">IF(C5+19&lt;=C6,E65*C12,"")</f>
        <v>11830.5574606467</v>
      </c>
      <c r="G65" s="62" t="n">
        <f aca="false">IF(C5+19&lt;=C6,E65+F65+D65,"")</f>
        <v>212606.515138092</v>
      </c>
      <c r="H65" s="63" t="n">
        <f aca="false">IF(C5+19&lt;=C6,G65/(1+C13)^20,"")</f>
        <v>129747.578451254</v>
      </c>
    </row>
    <row r="66" customFormat="false" ht="18" hidden="false" customHeight="true" outlineLevel="0" collapsed="false">
      <c r="B66" s="59" t="n">
        <v>2046</v>
      </c>
      <c r="C66" s="60" t="n">
        <f aca="false">C5+20</f>
        <v>55</v>
      </c>
      <c r="D66" s="61" t="n">
        <f aca="false">IF(C5+20&lt;=C6,C20*12,"")</f>
        <v>3600</v>
      </c>
      <c r="E66" s="61" t="n">
        <f aca="false">IF(C5+20&lt;=C6,G65,"")</f>
        <v>212606.515138092</v>
      </c>
      <c r="F66" s="61" t="n">
        <f aca="false">IF(C5+20&lt;=C6,E66*C12,"")</f>
        <v>12756.3909082855</v>
      </c>
      <c r="G66" s="62" t="n">
        <f aca="false">IF(C5+20&lt;=C6,E66+F66+D66,"")</f>
        <v>228962.906046377</v>
      </c>
      <c r="H66" s="63" t="n">
        <f aca="false">IF(C5+20&lt;=C6,G66/(1+C13)^21,"")</f>
        <v>136321.374197679</v>
      </c>
    </row>
    <row r="67" customFormat="false" ht="18" hidden="false" customHeight="true" outlineLevel="0" collapsed="false">
      <c r="B67" s="59" t="n">
        <v>2047</v>
      </c>
      <c r="C67" s="60" t="n">
        <f aca="false">C5+21</f>
        <v>56</v>
      </c>
      <c r="D67" s="61" t="n">
        <f aca="false">IF(C5+21&lt;=C6,C20*12,"")</f>
        <v>3600</v>
      </c>
      <c r="E67" s="61" t="n">
        <f aca="false">IF(C5+21&lt;=C6,G66,"")</f>
        <v>228962.906046377</v>
      </c>
      <c r="F67" s="61" t="n">
        <f aca="false">IF(C5+21&lt;=C6,E67*C12,"")</f>
        <v>13737.7743627826</v>
      </c>
      <c r="G67" s="62" t="n">
        <f aca="false">IF(C5+21&lt;=C6,E67+F67+D67,"")</f>
        <v>246300.68040916</v>
      </c>
      <c r="H67" s="63" t="n">
        <f aca="false">IF(C5+21&lt;=C6,G67/(1+C13)^22,"")</f>
        <v>143067.363198163</v>
      </c>
    </row>
    <row r="68" customFormat="false" ht="18" hidden="false" customHeight="true" outlineLevel="0" collapsed="false">
      <c r="B68" s="59" t="n">
        <v>2048</v>
      </c>
      <c r="C68" s="60" t="n">
        <f aca="false">C5+22</f>
        <v>57</v>
      </c>
      <c r="D68" s="61" t="n">
        <f aca="false">IF(C5+22&lt;=C6,C20*12,"")</f>
        <v>3600</v>
      </c>
      <c r="E68" s="61" t="n">
        <f aca="false">IF(C5+22&lt;=C6,G67,"")</f>
        <v>246300.68040916</v>
      </c>
      <c r="F68" s="61" t="n">
        <f aca="false">IF(C5+22&lt;=C6,E68*C12,"")</f>
        <v>14778.0408245496</v>
      </c>
      <c r="G68" s="62" t="n">
        <f aca="false">IF(C5+22&lt;=C6,E68+F68+D68,"")</f>
        <v>264678.72123371</v>
      </c>
      <c r="H68" s="63" t="n">
        <f aca="false">IF(C5+22&lt;=C6,G68/(1+C13)^23,"")</f>
        <v>149992.700291142</v>
      </c>
    </row>
    <row r="69" customFormat="false" ht="18" hidden="false" customHeight="true" outlineLevel="0" collapsed="false">
      <c r="B69" s="59" t="n">
        <v>2049</v>
      </c>
      <c r="C69" s="60" t="n">
        <f aca="false">C5+23</f>
        <v>58</v>
      </c>
      <c r="D69" s="61" t="n">
        <f aca="false">IF(C5+23&lt;=C6,C20*12,"")</f>
        <v>3600</v>
      </c>
      <c r="E69" s="61" t="n">
        <f aca="false">IF(C5+23&lt;=C6,G68,"")</f>
        <v>264678.72123371</v>
      </c>
      <c r="F69" s="61" t="n">
        <f aca="false">IF(C5+23&lt;=C6,E69*C12,"")</f>
        <v>15880.7232740226</v>
      </c>
      <c r="G69" s="62" t="n">
        <f aca="false">IF(C5+23&lt;=C6,E69+F69+D69,"")</f>
        <v>284159.444507732</v>
      </c>
      <c r="H69" s="63" t="n">
        <f aca="false">IF(C5+23&lt;=C6,G69/(1+C13)^24,"")</f>
        <v>157104.753527371</v>
      </c>
    </row>
    <row r="70" customFormat="false" ht="18" hidden="false" customHeight="true" outlineLevel="0" collapsed="false">
      <c r="B70" s="59" t="n">
        <v>2050</v>
      </c>
      <c r="C70" s="60" t="n">
        <f aca="false">C5+24</f>
        <v>59</v>
      </c>
      <c r="D70" s="61" t="n">
        <f aca="false">IF(C5+24&lt;=C6,C20*12,"")</f>
        <v>3600</v>
      </c>
      <c r="E70" s="61" t="n">
        <f aca="false">IF(C5+24&lt;=C6,G69,"")</f>
        <v>284159.444507732</v>
      </c>
      <c r="F70" s="61" t="n">
        <f aca="false">IF(C5+24&lt;=C6,E70*C12,"")</f>
        <v>17049.5666704639</v>
      </c>
      <c r="G70" s="62" t="n">
        <f aca="false">IF(C5+24&lt;=C6,E70+F70+D70,"")</f>
        <v>304809.011178196</v>
      </c>
      <c r="H70" s="63" t="n">
        <f aca="false">IF(C5+24&lt;=C6,G70/(1+C13)^25,"")</f>
        <v>164411.112208859</v>
      </c>
    </row>
    <row r="71" customFormat="false" ht="18" hidden="false" customHeight="true" outlineLevel="0" collapsed="false">
      <c r="B71" s="59" t="n">
        <v>2051</v>
      </c>
      <c r="C71" s="60" t="n">
        <f aca="false">C5+25</f>
        <v>60</v>
      </c>
      <c r="D71" s="61" t="n">
        <f aca="false">IF(C5+25&lt;=C6,C20*12,"")</f>
        <v>3600</v>
      </c>
      <c r="E71" s="61" t="n">
        <f aca="false">IF(C5+25&lt;=C6,G70,"")</f>
        <v>304809.011178196</v>
      </c>
      <c r="F71" s="61" t="n">
        <f aca="false">IF(C5+25&lt;=C6,E71*C12,"")</f>
        <v>18288.5406706918</v>
      </c>
      <c r="G71" s="62" t="n">
        <f aca="false">IF(C5+25&lt;=C6,E71+F71+D71,"")</f>
        <v>326697.551848888</v>
      </c>
      <c r="H71" s="63" t="n">
        <f aca="false">IF(C5+25&lt;=C6,G71/(1+C13)^26,"")</f>
        <v>171919.595183813</v>
      </c>
    </row>
    <row r="72" customFormat="false" ht="18" hidden="false" customHeight="true" outlineLevel="0" collapsed="false">
      <c r="B72" s="59" t="n">
        <v>2052</v>
      </c>
      <c r="C72" s="60" t="n">
        <f aca="false">C5+26</f>
        <v>61</v>
      </c>
      <c r="D72" s="61" t="n">
        <f aca="false">IF(C5+26&lt;=C6,C20*12,"")</f>
        <v>3600</v>
      </c>
      <c r="E72" s="61" t="n">
        <f aca="false">IF(C5+26&lt;=C6,G71,"")</f>
        <v>326697.551848888</v>
      </c>
      <c r="F72" s="61" t="n">
        <f aca="false">IF(C5+26&lt;=C6,E72*C12,"")</f>
        <v>19601.8531109333</v>
      </c>
      <c r="G72" s="62" t="n">
        <f aca="false">IF(C5+26&lt;=C6,E72+F72+D72,"")</f>
        <v>349899.404959821</v>
      </c>
      <c r="H72" s="63" t="n">
        <f aca="false">IF(C5+26&lt;=C6,G72/(1+C13)^27,"")</f>
        <v>179638.259406763</v>
      </c>
    </row>
    <row r="73" customFormat="false" ht="18" hidden="false" customHeight="true" outlineLevel="0" collapsed="false">
      <c r="B73" s="59" t="n">
        <v>2053</v>
      </c>
      <c r="C73" s="60" t="n">
        <f aca="false">C5+27</f>
        <v>62</v>
      </c>
      <c r="D73" s="61" t="n">
        <f aca="false">IF(C5+27&lt;=C6,C20*12,"")</f>
        <v>3600</v>
      </c>
      <c r="E73" s="61" t="n">
        <f aca="false">IF(C5+27&lt;=C6,G72,"")</f>
        <v>349899.404959821</v>
      </c>
      <c r="F73" s="61" t="n">
        <f aca="false">IF(C5+27&lt;=C6,E73*C12,"")</f>
        <v>20993.9642975893</v>
      </c>
      <c r="G73" s="62" t="n">
        <f aca="false">IF(C5+27&lt;=C6,E73+F73+D73,"")</f>
        <v>374493.36925741</v>
      </c>
      <c r="H73" s="63" t="n">
        <f aca="false">IF(C5+27&lt;=C6,G73/(1+C13)^28,"")</f>
        <v>187575.408773385</v>
      </c>
    </row>
    <row r="74" customFormat="false" ht="18" hidden="false" customHeight="true" outlineLevel="0" collapsed="false">
      <c r="B74" s="59" t="n">
        <v>2054</v>
      </c>
      <c r="C74" s="60" t="n">
        <f aca="false">C5+28</f>
        <v>63</v>
      </c>
      <c r="D74" s="61" t="n">
        <f aca="false">IF(C5+28&lt;=C6,C20*12,"")</f>
        <v>3600</v>
      </c>
      <c r="E74" s="61" t="n">
        <f aca="false">IF(C5+28&lt;=C6,G73,"")</f>
        <v>374493.36925741</v>
      </c>
      <c r="F74" s="61" t="n">
        <f aca="false">IF(C5+28&lt;=C6,E74*C12,"")</f>
        <v>22469.6021554446</v>
      </c>
      <c r="G74" s="62" t="n">
        <f aca="false">IF(C5+28&lt;=C6,E74+F74+D74,"")</f>
        <v>400562.971412855</v>
      </c>
      <c r="H74" s="63" t="n">
        <f aca="false">IF(C5+28&lt;=C6,G74/(1+C13)^29,"")</f>
        <v>195739.603239819</v>
      </c>
    </row>
    <row r="75" customFormat="false" ht="18" hidden="false" customHeight="true" outlineLevel="0" collapsed="false">
      <c r="B75" s="59" t="n">
        <v>2055</v>
      </c>
      <c r="C75" s="60" t="n">
        <f aca="false">C5+29</f>
        <v>64</v>
      </c>
      <c r="D75" s="61" t="n">
        <f aca="false">IF(C5+29&lt;=C6,C20*12,"")</f>
        <v>3600</v>
      </c>
      <c r="E75" s="61" t="n">
        <f aca="false">IF(C5+29&lt;=C6,G74,"")</f>
        <v>400562.971412855</v>
      </c>
      <c r="F75" s="61" t="n">
        <f aca="false">IF(C5+29&lt;=C6,E75*C12,"")</f>
        <v>24033.7782847713</v>
      </c>
      <c r="G75" s="62" t="n">
        <f aca="false">IF(C5+29&lt;=C6,E75+F75+D75,"")</f>
        <v>428196.749697626</v>
      </c>
      <c r="H75" s="63" t="n">
        <f aca="false">IF(C5+29&lt;=C6,G75/(1+C13)^30,"")</f>
        <v>204139.668236611</v>
      </c>
    </row>
    <row r="76" customFormat="false" ht="18" hidden="false" customHeight="true" outlineLevel="0" collapsed="false">
      <c r="B76" s="59" t="n">
        <v>2056</v>
      </c>
      <c r="C76" s="60" t="n">
        <f aca="false">C5+30</f>
        <v>65</v>
      </c>
      <c r="D76" s="61" t="n">
        <f aca="false">IF(C5+30&lt;=C6,C20*12,"")</f>
        <v>3600</v>
      </c>
      <c r="E76" s="61" t="n">
        <f aca="false">IF(C5+30&lt;=C6,G75,"")</f>
        <v>428196.749697626</v>
      </c>
      <c r="F76" s="61" t="n">
        <f aca="false">IF(C5+30&lt;=C6,E76*C12,"")</f>
        <v>25691.8049818576</v>
      </c>
      <c r="G76" s="62" t="n">
        <f aca="false">IF(C5+30&lt;=C6,E76+F76+D76,"")</f>
        <v>457488.554679484</v>
      </c>
      <c r="H76" s="63" t="n">
        <f aca="false">IF(C5+30&lt;=C6,G76/(1+C13)^31,"")</f>
        <v>212784.704387765</v>
      </c>
    </row>
    <row r="77" customFormat="false" ht="18" hidden="false" customHeight="true" outlineLevel="0" collapsed="false">
      <c r="B77" s="59" t="n">
        <v>2057</v>
      </c>
      <c r="C77" s="60" t="n">
        <f aca="false">C5+31</f>
        <v>66</v>
      </c>
      <c r="D77" s="61" t="n">
        <f aca="false">IF(C5+31&lt;=C6,C20*12,"")</f>
        <v>3600</v>
      </c>
      <c r="E77" s="61" t="n">
        <f aca="false">IF(C5+31&lt;=C6,G76,"")</f>
        <v>457488.554679484</v>
      </c>
      <c r="F77" s="61" t="n">
        <f aca="false">IF(C5+31&lt;=C6,E77*C12,"")</f>
        <v>27449.313280769</v>
      </c>
      <c r="G77" s="62" t="n">
        <f aca="false">IF(C5+31&lt;=C6,E77+F77+D77,"")</f>
        <v>488537.867960253</v>
      </c>
      <c r="H77" s="63" t="n">
        <f aca="false">IF(C5+31&lt;=C6,G77/(1+C13)^32,"")</f>
        <v>221684.097545706</v>
      </c>
    </row>
    <row r="78" customFormat="false" ht="18" hidden="false" customHeight="true" outlineLevel="0" collapsed="false">
      <c r="B78" s="59" t="n">
        <v>2058</v>
      </c>
      <c r="C78" s="60" t="n">
        <f aca="false">C5+32</f>
        <v>67</v>
      </c>
      <c r="D78" s="61" t="n">
        <f aca="false">IF(C5+32&lt;=C6,C20*12,"")</f>
        <v>3600</v>
      </c>
      <c r="E78" s="61" t="n">
        <f aca="false">IF(C5+32&lt;=C6,G77,"")</f>
        <v>488537.867960253</v>
      </c>
      <c r="F78" s="61" t="n">
        <f aca="false">IF(C5+32&lt;=C6,E78*C12,"")</f>
        <v>29312.2720776152</v>
      </c>
      <c r="G78" s="62" t="n">
        <f aca="false">IF(C5+32&lt;=C6,E78+F78+D78,"")</f>
        <v>521450.140037868</v>
      </c>
      <c r="H78" s="63" t="n">
        <f aca="false">IF(C5+32&lt;=C6,G78/(1+C13)^33,"")</f>
        <v>230847.529153341</v>
      </c>
    </row>
    <row r="79" customFormat="false" ht="18" hidden="false" customHeight="true" outlineLevel="0" collapsed="false">
      <c r="B79" s="59" t="n">
        <v>2059</v>
      </c>
      <c r="C79" s="60" t="n">
        <f aca="false">C5+33</f>
        <v>68</v>
      </c>
      <c r="D79" s="61" t="str">
        <f aca="false">IF(C5+33&lt;=C6,C20*12,"")</f>
        <v/>
      </c>
      <c r="E79" s="61" t="str">
        <f aca="false">IF(C5+33&lt;=C6,G78,"")</f>
        <v/>
      </c>
      <c r="F79" s="61" t="str">
        <f aca="false">IF(C5+33&lt;=C6,E79*C12,"")</f>
        <v/>
      </c>
      <c r="G79" s="62" t="str">
        <f aca="false">IF(C5+33&lt;=C6,E79+F79+D79,"")</f>
        <v/>
      </c>
      <c r="H79" s="63" t="str">
        <f aca="false">IF(C5+33&lt;=C6,G79/(1+C13)^34,"")</f>
        <v/>
      </c>
    </row>
    <row r="80" customFormat="false" ht="18" hidden="false" customHeight="true" outlineLevel="0" collapsed="false">
      <c r="B80" s="59" t="n">
        <v>2060</v>
      </c>
      <c r="C80" s="60" t="n">
        <f aca="false">C5+34</f>
        <v>69</v>
      </c>
      <c r="D80" s="61" t="str">
        <f aca="false">IF(C5+34&lt;=C6,C20*12,"")</f>
        <v/>
      </c>
      <c r="E80" s="61" t="str">
        <f aca="false">IF(C5+34&lt;=C6,G79,"")</f>
        <v/>
      </c>
      <c r="F80" s="61" t="str">
        <f aca="false">IF(C5+34&lt;=C6,E80*C12,"")</f>
        <v/>
      </c>
      <c r="G80" s="62" t="str">
        <f aca="false">IF(C5+34&lt;=C6,E80+F80+D80,"")</f>
        <v/>
      </c>
      <c r="H80" s="63" t="str">
        <f aca="false">IF(C5+34&lt;=C6,G80/(1+C13)^35,"")</f>
        <v/>
      </c>
    </row>
    <row r="81" customFormat="false" ht="18" hidden="false" customHeight="true" outlineLevel="0" collapsed="false">
      <c r="B81" s="59" t="n">
        <v>2061</v>
      </c>
      <c r="C81" s="60" t="n">
        <f aca="false">C5+35</f>
        <v>70</v>
      </c>
      <c r="D81" s="61" t="str">
        <f aca="false">IF(C5+35&lt;=C6,C20*12,"")</f>
        <v/>
      </c>
      <c r="E81" s="61" t="str">
        <f aca="false">IF(C5+35&lt;=C6,G80,"")</f>
        <v/>
      </c>
      <c r="F81" s="61" t="str">
        <f aca="false">IF(C5+35&lt;=C6,E81*C12,"")</f>
        <v/>
      </c>
      <c r="G81" s="62" t="str">
        <f aca="false">IF(C5+35&lt;=C6,E81+F81+D81,"")</f>
        <v/>
      </c>
      <c r="H81" s="63" t="str">
        <f aca="false">IF(C5+35&lt;=C6,G81/(1+C13)^36,"")</f>
        <v/>
      </c>
    </row>
    <row r="82" customFormat="false" ht="18" hidden="false" customHeight="true" outlineLevel="0" collapsed="false">
      <c r="B82" s="59" t="n">
        <v>2062</v>
      </c>
      <c r="C82" s="60" t="n">
        <f aca="false">C5+36</f>
        <v>71</v>
      </c>
      <c r="D82" s="61" t="str">
        <f aca="false">IF(C5+36&lt;=C6,C20*12,"")</f>
        <v/>
      </c>
      <c r="E82" s="61" t="str">
        <f aca="false">IF(C5+36&lt;=C6,G81,"")</f>
        <v/>
      </c>
      <c r="F82" s="61" t="str">
        <f aca="false">IF(C5+36&lt;=C6,E82*C12,"")</f>
        <v/>
      </c>
      <c r="G82" s="62" t="str">
        <f aca="false">IF(C5+36&lt;=C6,E82+F82+D82,"")</f>
        <v/>
      </c>
      <c r="H82" s="63" t="str">
        <f aca="false">IF(C5+36&lt;=C6,G82/(1+C13)^37,"")</f>
        <v/>
      </c>
    </row>
    <row r="83" customFormat="false" ht="18" hidden="false" customHeight="true" outlineLevel="0" collapsed="false">
      <c r="B83" s="59" t="n">
        <v>2063</v>
      </c>
      <c r="C83" s="60" t="n">
        <f aca="false">C5+37</f>
        <v>72</v>
      </c>
      <c r="D83" s="61" t="str">
        <f aca="false">IF(C5+37&lt;=C6,C20*12,"")</f>
        <v/>
      </c>
      <c r="E83" s="61" t="str">
        <f aca="false">IF(C5+37&lt;=C6,G82,"")</f>
        <v/>
      </c>
      <c r="F83" s="61" t="str">
        <f aca="false">IF(C5+37&lt;=C6,E83*C12,"")</f>
        <v/>
      </c>
      <c r="G83" s="62" t="str">
        <f aca="false">IF(C5+37&lt;=C6,E83+F83+D83,"")</f>
        <v/>
      </c>
      <c r="H83" s="63" t="str">
        <f aca="false">IF(C5+37&lt;=C6,G83/(1+C13)^38,"")</f>
        <v/>
      </c>
    </row>
    <row r="84" customFormat="false" ht="18" hidden="false" customHeight="true" outlineLevel="0" collapsed="false">
      <c r="B84" s="59" t="n">
        <v>2064</v>
      </c>
      <c r="C84" s="60" t="n">
        <f aca="false">C5+38</f>
        <v>73</v>
      </c>
      <c r="D84" s="61" t="str">
        <f aca="false">IF(C5+38&lt;=C6,C20*12,"")</f>
        <v/>
      </c>
      <c r="E84" s="61" t="str">
        <f aca="false">IF(C5+38&lt;=C6,G83,"")</f>
        <v/>
      </c>
      <c r="F84" s="61" t="str">
        <f aca="false">IF(C5+38&lt;=C6,E84*C12,"")</f>
        <v/>
      </c>
      <c r="G84" s="62" t="str">
        <f aca="false">IF(C5+38&lt;=C6,E84+F84+D84,"")</f>
        <v/>
      </c>
      <c r="H84" s="63" t="str">
        <f aca="false">IF(C5+38&lt;=C6,G84/(1+C13)^39,"")</f>
        <v/>
      </c>
    </row>
    <row r="85" customFormat="false" ht="18" hidden="false" customHeight="true" outlineLevel="0" collapsed="false">
      <c r="B85" s="59" t="n">
        <v>2065</v>
      </c>
      <c r="C85" s="60" t="n">
        <f aca="false">C5+39</f>
        <v>74</v>
      </c>
      <c r="D85" s="61" t="str">
        <f aca="false">IF(C5+39&lt;=C6,C20*12,"")</f>
        <v/>
      </c>
      <c r="E85" s="61" t="str">
        <f aca="false">IF(C5+39&lt;=C6,G84,"")</f>
        <v/>
      </c>
      <c r="F85" s="61" t="str">
        <f aca="false">IF(C5+39&lt;=C6,E85*C12,"")</f>
        <v/>
      </c>
      <c r="G85" s="62" t="str">
        <f aca="false">IF(C5+39&lt;=C6,E85+F85+D85,"")</f>
        <v/>
      </c>
      <c r="H85" s="63" t="str">
        <f aca="false">IF(C5+39&lt;=C6,G85/(1+C13)^40,"")</f>
        <v/>
      </c>
    </row>
  </sheetData>
  <mergeCells count="7">
    <mergeCell ref="A1:I1"/>
    <mergeCell ref="A2:I2"/>
    <mergeCell ref="A4:D4"/>
    <mergeCell ref="A17:D17"/>
    <mergeCell ref="A24:I24"/>
    <mergeCell ref="A33:I33"/>
    <mergeCell ref="A44:I4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44AD"/>
    <pageSetUpPr fitToPage="false"/>
  </sheetPr>
  <dimension ref="A1:H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5"/>
    <col collapsed="false" customWidth="true" hidden="false" outlineLevel="0" max="4" min="3" style="1" width="20"/>
    <col collapsed="false" customWidth="true" hidden="false" outlineLevel="0" max="6" min="5" style="1" width="3"/>
    <col collapsed="false" customWidth="true" hidden="false" outlineLevel="0" max="7" min="7" style="1" width="25"/>
    <col collapsed="false" customWidth="true" hidden="false" outlineLevel="0" max="8" min="8" style="1" width="20"/>
  </cols>
  <sheetData>
    <row r="1" customFormat="false" ht="24" hidden="false" customHeight="true" outlineLevel="0" collapsed="false">
      <c r="A1" s="21" t="s">
        <v>235</v>
      </c>
      <c r="B1" s="21"/>
      <c r="C1" s="21"/>
      <c r="D1" s="21"/>
      <c r="E1" s="21"/>
      <c r="F1" s="21"/>
      <c r="G1" s="21"/>
      <c r="H1" s="21"/>
    </row>
    <row r="2" customFormat="false" ht="24" hidden="false" customHeight="true" outlineLevel="0" collapsed="false">
      <c r="A2" s="22" t="s">
        <v>236</v>
      </c>
      <c r="B2" s="22"/>
      <c r="C2" s="22"/>
      <c r="D2" s="22"/>
      <c r="E2" s="22"/>
      <c r="F2" s="22"/>
      <c r="G2" s="22"/>
      <c r="H2" s="22"/>
    </row>
    <row r="3" customFormat="false" ht="7.5" hidden="false" customHeight="true" outlineLevel="0" collapsed="false"/>
    <row r="4" customFormat="false" ht="24" hidden="false" customHeight="true" outlineLevel="0" collapsed="false">
      <c r="A4" s="56" t="s">
        <v>237</v>
      </c>
      <c r="B4" s="56"/>
      <c r="C4" s="56"/>
      <c r="D4" s="56"/>
    </row>
    <row r="5" customFormat="false" ht="19.5" hidden="false" customHeight="true" outlineLevel="0" collapsed="false">
      <c r="B5" s="43" t="s">
        <v>238</v>
      </c>
      <c r="C5" s="43"/>
      <c r="D5" s="43"/>
    </row>
    <row r="6" customFormat="false" ht="19.5" hidden="false" customHeight="true" outlineLevel="0" collapsed="false">
      <c r="B6" s="44" t="s">
        <v>239</v>
      </c>
      <c r="C6" s="24" t="n">
        <v>0</v>
      </c>
    </row>
    <row r="7" customFormat="false" ht="19.5" hidden="false" customHeight="true" outlineLevel="0" collapsed="false">
      <c r="B7" s="44" t="s">
        <v>240</v>
      </c>
      <c r="C7" s="24" t="n">
        <v>0</v>
      </c>
    </row>
    <row r="8" customFormat="false" ht="19.5" hidden="false" customHeight="true" outlineLevel="0" collapsed="false">
      <c r="B8" s="43" t="s">
        <v>241</v>
      </c>
      <c r="C8" s="43"/>
      <c r="D8" s="43"/>
    </row>
    <row r="9" customFormat="false" ht="19.5" hidden="false" customHeight="true" outlineLevel="0" collapsed="false">
      <c r="B9" s="44" t="s">
        <v>242</v>
      </c>
      <c r="C9" s="24" t="n">
        <v>2500</v>
      </c>
    </row>
    <row r="10" customFormat="false" ht="19.5" hidden="false" customHeight="true" outlineLevel="0" collapsed="false">
      <c r="B10" s="44" t="s">
        <v>243</v>
      </c>
      <c r="C10" s="24" t="n">
        <v>5000</v>
      </c>
    </row>
    <row r="11" customFormat="false" ht="19.5" hidden="false" customHeight="true" outlineLevel="0" collapsed="false">
      <c r="B11" s="44" t="s">
        <v>244</v>
      </c>
      <c r="C11" s="24" t="n">
        <v>0</v>
      </c>
    </row>
    <row r="12" customFormat="false" ht="19.5" hidden="false" customHeight="true" outlineLevel="0" collapsed="false">
      <c r="B12" s="43" t="s">
        <v>245</v>
      </c>
      <c r="C12" s="43"/>
      <c r="D12" s="43"/>
    </row>
    <row r="13" customFormat="false" ht="19.5" hidden="false" customHeight="true" outlineLevel="0" collapsed="false">
      <c r="B13" s="44" t="s">
        <v>246</v>
      </c>
      <c r="C13" s="24" t="n">
        <v>0</v>
      </c>
    </row>
    <row r="14" customFormat="false" ht="19.5" hidden="false" customHeight="true" outlineLevel="0" collapsed="false">
      <c r="B14" s="44" t="s">
        <v>247</v>
      </c>
      <c r="C14" s="24" t="n">
        <v>0</v>
      </c>
    </row>
    <row r="15" customFormat="false" ht="19.5" hidden="false" customHeight="true" outlineLevel="0" collapsed="false">
      <c r="B15" s="44" t="s">
        <v>248</v>
      </c>
      <c r="C15" s="24" t="n">
        <v>0</v>
      </c>
    </row>
    <row r="16" customFormat="false" ht="19.5" hidden="false" customHeight="true" outlineLevel="0" collapsed="false">
      <c r="B16" s="43" t="s">
        <v>249</v>
      </c>
      <c r="C16" s="43"/>
      <c r="D16" s="43"/>
    </row>
    <row r="17" customFormat="false" ht="19.5" hidden="false" customHeight="true" outlineLevel="0" collapsed="false">
      <c r="B17" s="44" t="s">
        <v>250</v>
      </c>
      <c r="C17" s="45" t="n">
        <f aca="false">IF(ISNUMBER('🏦 Pension Planner'!C7),'🏦 Pension Planner'!C7,0)</f>
        <v>25000</v>
      </c>
    </row>
    <row r="18" customFormat="false" ht="19.5" hidden="false" customHeight="true" outlineLevel="0" collapsed="false">
      <c r="B18" s="43" t="s">
        <v>251</v>
      </c>
      <c r="C18" s="43"/>
      <c r="D18" s="43"/>
    </row>
    <row r="19" customFormat="false" ht="19.5" hidden="false" customHeight="true" outlineLevel="0" collapsed="false">
      <c r="B19" s="44" t="s">
        <v>252</v>
      </c>
      <c r="C19" s="24" t="n">
        <v>0</v>
      </c>
    </row>
    <row r="20" customFormat="false" ht="19.5" hidden="false" customHeight="true" outlineLevel="0" collapsed="false">
      <c r="B20" s="44" t="s">
        <v>253</v>
      </c>
      <c r="C20" s="24" t="n">
        <v>0</v>
      </c>
    </row>
    <row r="21" customFormat="false" ht="19.5" hidden="false" customHeight="true" outlineLevel="0" collapsed="false">
      <c r="B21" s="44" t="s">
        <v>254</v>
      </c>
      <c r="C21" s="24" t="n">
        <v>0</v>
      </c>
    </row>
    <row r="23" customFormat="false" ht="21.75" hidden="false" customHeight="true" outlineLevel="0" collapsed="false">
      <c r="B23" s="11" t="s">
        <v>255</v>
      </c>
      <c r="C23" s="65" t="n">
        <f aca="false">C6+C7+C9+C10+C11+C13+C14+C15+C17+C19+C20+C21</f>
        <v>32500</v>
      </c>
    </row>
    <row r="24" customFormat="false" ht="7.5" hidden="false" customHeight="true" outlineLevel="0" collapsed="false"/>
    <row r="25" customFormat="false" ht="24" hidden="false" customHeight="true" outlineLevel="0" collapsed="false">
      <c r="A25" s="42" t="s">
        <v>256</v>
      </c>
      <c r="B25" s="42"/>
      <c r="C25" s="42"/>
      <c r="D25" s="42"/>
    </row>
    <row r="26" customFormat="false" ht="19.5" hidden="false" customHeight="true" outlineLevel="0" collapsed="false">
      <c r="B26" s="43" t="s">
        <v>257</v>
      </c>
      <c r="C26" s="43"/>
      <c r="D26" s="43"/>
    </row>
    <row r="27" customFormat="false" ht="19.5" hidden="false" customHeight="true" outlineLevel="0" collapsed="false">
      <c r="B27" s="44" t="s">
        <v>258</v>
      </c>
      <c r="C27" s="24" t="n">
        <v>0</v>
      </c>
    </row>
    <row r="28" customFormat="false" ht="19.5" hidden="false" customHeight="true" outlineLevel="0" collapsed="false">
      <c r="B28" s="43" t="s">
        <v>259</v>
      </c>
      <c r="C28" s="43"/>
      <c r="D28" s="43"/>
    </row>
    <row r="29" customFormat="false" ht="19.5" hidden="false" customHeight="true" outlineLevel="0" collapsed="false">
      <c r="B29" s="44" t="s">
        <v>260</v>
      </c>
      <c r="C29" s="45" t="n">
        <f aca="false">IFERROR('💳 Debt Calculator'!D22,'💳 Debt Calculator'!D22)</f>
        <v>16700</v>
      </c>
    </row>
    <row r="30" customFormat="false" ht="19.5" hidden="false" customHeight="true" outlineLevel="0" collapsed="false">
      <c r="B30" s="44" t="s">
        <v>261</v>
      </c>
      <c r="C30" s="24" t="n">
        <v>0</v>
      </c>
    </row>
    <row r="31" customFormat="false" ht="19.5" hidden="false" customHeight="true" outlineLevel="0" collapsed="false">
      <c r="B31" s="44" t="s">
        <v>262</v>
      </c>
      <c r="C31" s="24" t="n">
        <v>0</v>
      </c>
    </row>
    <row r="32" customFormat="false" ht="19.5" hidden="false" customHeight="true" outlineLevel="0" collapsed="false">
      <c r="B32" s="44" t="s">
        <v>263</v>
      </c>
      <c r="C32" s="24" t="n">
        <v>0</v>
      </c>
    </row>
    <row r="33" customFormat="false" ht="19.5" hidden="false" customHeight="true" outlineLevel="0" collapsed="false">
      <c r="B33" s="44" t="s">
        <v>264</v>
      </c>
      <c r="C33" s="24" t="n">
        <v>0</v>
      </c>
    </row>
    <row r="34" customFormat="false" ht="19.5" hidden="false" customHeight="true" outlineLevel="0" collapsed="false">
      <c r="B34" s="43" t="s">
        <v>265</v>
      </c>
      <c r="C34" s="43"/>
      <c r="D34" s="43"/>
    </row>
    <row r="35" customFormat="false" ht="19.5" hidden="false" customHeight="true" outlineLevel="0" collapsed="false">
      <c r="B35" s="44" t="s">
        <v>266</v>
      </c>
      <c r="C35" s="24" t="n">
        <v>0</v>
      </c>
    </row>
    <row r="36" customFormat="false" ht="19.5" hidden="false" customHeight="true" outlineLevel="0" collapsed="false">
      <c r="B36" s="44" t="s">
        <v>267</v>
      </c>
      <c r="C36" s="24" t="n">
        <v>0</v>
      </c>
    </row>
    <row r="38" customFormat="false" ht="21.75" hidden="false" customHeight="true" outlineLevel="0" collapsed="false">
      <c r="B38" s="11" t="s">
        <v>268</v>
      </c>
      <c r="C38" s="66" t="n">
        <f aca="false">C27+C29+C30+C31+C32+C33+C35+C36</f>
        <v>16700</v>
      </c>
    </row>
    <row r="39" customFormat="false" ht="7.5" hidden="false" customHeight="true" outlineLevel="0" collapsed="false"/>
    <row r="40" customFormat="false" ht="24" hidden="false" customHeight="true" outlineLevel="0" collapsed="false">
      <c r="A40" s="67" t="n">
        <f aca="false">C43</f>
        <v>15800</v>
      </c>
      <c r="B40" s="67"/>
      <c r="C40" s="67"/>
      <c r="D40" s="67"/>
    </row>
    <row r="41" customFormat="false" ht="24" hidden="false" customHeight="true" outlineLevel="0" collapsed="false">
      <c r="B41" s="11" t="s">
        <v>269</v>
      </c>
      <c r="C41" s="15" t="n">
        <f aca="false">C23</f>
        <v>32500</v>
      </c>
    </row>
    <row r="42" customFormat="false" ht="24" hidden="false" customHeight="true" outlineLevel="0" collapsed="false">
      <c r="B42" s="11" t="s">
        <v>270</v>
      </c>
      <c r="C42" s="68" t="n">
        <f aca="false">C38</f>
        <v>16700</v>
      </c>
    </row>
    <row r="43" customFormat="false" ht="24" hidden="false" customHeight="true" outlineLevel="0" collapsed="false">
      <c r="B43" s="11" t="s">
        <v>271</v>
      </c>
      <c r="C43" s="69" t="n">
        <f aca="false">C23-C38</f>
        <v>15800</v>
      </c>
    </row>
    <row r="44" customFormat="false" ht="24" hidden="false" customHeight="true" outlineLevel="0" collapsed="false">
      <c r="B44" s="11" t="s">
        <v>272</v>
      </c>
      <c r="C44" s="70" t="n">
        <f aca="false">IFERROR(C38/C23,0)</f>
        <v>0.513846153846154</v>
      </c>
    </row>
    <row r="45" customFormat="false" ht="24" hidden="false" customHeight="true" outlineLevel="0" collapsed="false">
      <c r="B45" s="11" t="s">
        <v>273</v>
      </c>
      <c r="C45" s="71" t="str">
        <f aca="false">IF(C23&gt;C38,"✅ Assets exceed liabilities","⚠️ Liabilities exceed assets")</f>
        <v>✅ Assets exceed liabilities</v>
      </c>
    </row>
  </sheetData>
  <mergeCells count="13">
    <mergeCell ref="A1:H1"/>
    <mergeCell ref="A2:H2"/>
    <mergeCell ref="A4:D4"/>
    <mergeCell ref="B5:D5"/>
    <mergeCell ref="B8:D8"/>
    <mergeCell ref="B12:D12"/>
    <mergeCell ref="B16:D16"/>
    <mergeCell ref="B18:D18"/>
    <mergeCell ref="A25:D25"/>
    <mergeCell ref="B26:D26"/>
    <mergeCell ref="B28:D28"/>
    <mergeCell ref="B34:D34"/>
    <mergeCell ref="A40:D4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39C12"/>
    <pageSetUpPr fitToPage="false"/>
  </sheetPr>
  <dimension ref="A1:J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22"/>
    <col collapsed="false" customWidth="true" hidden="false" outlineLevel="0" max="4" min="3" style="1" width="16"/>
    <col collapsed="false" customWidth="true" hidden="false" outlineLevel="0" max="6" min="5" style="1" width="12"/>
    <col collapsed="false" customWidth="true" hidden="false" outlineLevel="0" max="7" min="7" style="1" width="16"/>
    <col collapsed="false" customWidth="true" hidden="false" outlineLevel="0" max="8" min="8" style="1" width="14"/>
    <col collapsed="false" customWidth="true" hidden="false" outlineLevel="0" max="9" min="9" style="1" width="18"/>
    <col collapsed="false" customWidth="true" hidden="false" outlineLevel="0" max="10" min="10" style="1" width="16"/>
  </cols>
  <sheetData>
    <row r="1" customFormat="false" ht="24" hidden="false" customHeight="true" outlineLevel="0" collapsed="false">
      <c r="A1" s="21" t="s">
        <v>274</v>
      </c>
      <c r="B1" s="21"/>
      <c r="C1" s="21"/>
      <c r="D1" s="21"/>
      <c r="E1" s="21"/>
      <c r="F1" s="21"/>
      <c r="G1" s="21"/>
      <c r="H1" s="21"/>
      <c r="I1" s="21"/>
      <c r="J1" s="21"/>
    </row>
    <row r="2" customFormat="false" ht="24" hidden="false" customHeight="true" outlineLevel="0" collapsed="false">
      <c r="A2" s="22" t="s">
        <v>275</v>
      </c>
      <c r="B2" s="22"/>
      <c r="C2" s="22"/>
      <c r="D2" s="22"/>
      <c r="E2" s="22"/>
      <c r="F2" s="22"/>
      <c r="G2" s="22"/>
      <c r="H2" s="22"/>
      <c r="I2" s="22"/>
      <c r="J2" s="22"/>
    </row>
    <row r="3" customFormat="false" ht="7.5" hidden="false" customHeight="true" outlineLevel="0" collapsed="false"/>
    <row r="4" customFormat="false" ht="25.5" hidden="false" customHeight="true" outlineLevel="0" collapsed="false">
      <c r="A4" s="26" t="s">
        <v>80</v>
      </c>
      <c r="B4" s="26" t="s">
        <v>276</v>
      </c>
      <c r="C4" s="26" t="s">
        <v>277</v>
      </c>
      <c r="D4" s="26" t="s">
        <v>278</v>
      </c>
      <c r="E4" s="26" t="s">
        <v>279</v>
      </c>
      <c r="F4" s="26" t="s">
        <v>280</v>
      </c>
      <c r="G4" s="26" t="s">
        <v>281</v>
      </c>
      <c r="H4" s="26" t="s">
        <v>282</v>
      </c>
      <c r="I4" s="26" t="s">
        <v>283</v>
      </c>
      <c r="J4" s="26" t="s">
        <v>284</v>
      </c>
    </row>
    <row r="5" customFormat="false" ht="21.75" hidden="false" customHeight="true" outlineLevel="0" collapsed="false">
      <c r="A5" s="72" t="n">
        <v>1</v>
      </c>
      <c r="B5" s="29" t="s">
        <v>67</v>
      </c>
      <c r="C5" s="24" t="n">
        <v>9000</v>
      </c>
      <c r="D5" s="24" t="n">
        <v>1500</v>
      </c>
      <c r="E5" s="24" t="n">
        <v>300</v>
      </c>
      <c r="F5" s="54" t="n">
        <v>0.045</v>
      </c>
      <c r="G5" s="32" t="n">
        <f aca="false">IF(OR(C5="",C5=0),"",IF(E5=0,CEILING((C5-D5)/E5,1),IFERROR(CEILING(-LOG(1-(C5-D5)*F5/12/E5)/LOG(1+F5/12),1),"Review")))</f>
        <v>27</v>
      </c>
      <c r="H5" s="73" t="n">
        <f aca="true">IF(OR(C5="",G5=""),"",IFERROR(EDATE(TODAY(),G5),""))</f>
        <v>46943</v>
      </c>
      <c r="I5" s="50" t="n">
        <f aca="false">IF(OR(C5="",C5=0),"",D5/C5)</f>
        <v>0.166666666666667</v>
      </c>
      <c r="J5" s="33" t="str">
        <f aca="false">IF(C5="","",IF(D5&gt;=C5,"✅ ACHIEVED!",IF(AND(ISNUMBER(G5),G5&lt;=12),"🟡 Nearly there","🔵 In progress")))</f>
        <v>🔵 In progress</v>
      </c>
    </row>
    <row r="6" customFormat="false" ht="21.75" hidden="false" customHeight="true" outlineLevel="0" collapsed="false">
      <c r="A6" s="72" t="n">
        <v>2</v>
      </c>
      <c r="B6" s="29" t="s">
        <v>285</v>
      </c>
      <c r="C6" s="24" t="n">
        <v>30000</v>
      </c>
      <c r="D6" s="24" t="n">
        <v>5000</v>
      </c>
      <c r="E6" s="24" t="n">
        <v>500</v>
      </c>
      <c r="F6" s="54" t="n">
        <v>0.045</v>
      </c>
      <c r="G6" s="32" t="n">
        <f aca="false">IF(OR(C6="",C6=0),"",IF(E6=0,CEILING((C6-D6)/E6,1),IFERROR(CEILING(-LOG(1-(C6-D6)*F6/12/E6)/LOG(1+F6/12),1),"Review")))</f>
        <v>56</v>
      </c>
      <c r="H6" s="73" t="n">
        <f aca="true">IF(OR(C6="",G6=""),"",IFERROR(EDATE(TODAY(),G6),""))</f>
        <v>47826</v>
      </c>
      <c r="I6" s="50" t="n">
        <f aca="false">IF(OR(C6="",C6=0),"",D6/C6)</f>
        <v>0.166666666666667</v>
      </c>
      <c r="J6" s="33" t="str">
        <f aca="false">IF(C6="","",IF(D6&gt;=C6,"✅ ACHIEVED!",IF(AND(ISNUMBER(G6),G6&lt;=12),"🟡 Nearly there","🔵 In progress")))</f>
        <v>🔵 In progress</v>
      </c>
    </row>
    <row r="7" customFormat="false" ht="21.75" hidden="false" customHeight="true" outlineLevel="0" collapsed="false">
      <c r="A7" s="72" t="n">
        <v>3</v>
      </c>
      <c r="B7" s="29" t="s">
        <v>286</v>
      </c>
      <c r="C7" s="24" t="n">
        <v>12000</v>
      </c>
      <c r="D7" s="24" t="n">
        <v>2000</v>
      </c>
      <c r="E7" s="24" t="n">
        <v>200</v>
      </c>
      <c r="F7" s="54" t="n">
        <v>0.035</v>
      </c>
      <c r="G7" s="32" t="n">
        <f aca="false">IF(OR(C7="",C7=0),"",IF(E7=0,CEILING((C7-D7)/E7,1),IFERROR(CEILING(-LOG(1-(C7-D7)*F7/12/E7)/LOG(1+F7/12),1),"Review")))</f>
        <v>55</v>
      </c>
      <c r="H7" s="73" t="n">
        <f aca="true">IF(OR(C7="",G7=""),"",IFERROR(EDATE(TODAY(),G7),""))</f>
        <v>47796</v>
      </c>
      <c r="I7" s="50" t="n">
        <f aca="false">IF(OR(C7="",C7=0),"",D7/C7)</f>
        <v>0.166666666666667</v>
      </c>
      <c r="J7" s="33" t="str">
        <f aca="false">IF(C7="","",IF(D7&gt;=C7,"✅ ACHIEVED!",IF(AND(ISNUMBER(G7),G7&lt;=12),"🟡 Nearly there","🔵 In progress")))</f>
        <v>🔵 In progress</v>
      </c>
    </row>
    <row r="8" customFormat="false" ht="21.75" hidden="false" customHeight="true" outlineLevel="0" collapsed="false">
      <c r="A8" s="72" t="n">
        <v>4</v>
      </c>
      <c r="B8" s="29" t="s">
        <v>287</v>
      </c>
      <c r="C8" s="24" t="n">
        <v>3000</v>
      </c>
      <c r="D8" s="24" t="n">
        <v>500</v>
      </c>
      <c r="E8" s="24" t="n">
        <v>150</v>
      </c>
      <c r="F8" s="54" t="n">
        <v>0.03</v>
      </c>
      <c r="G8" s="32" t="n">
        <f aca="false">IF(OR(C8="",C8=0),"",IF(E8=0,CEILING((C8-D8)/E8,1),IFERROR(CEILING(-LOG(1-(C8-D8)*F8/12/E8)/LOG(1+F8/12),1),"Review")))</f>
        <v>18</v>
      </c>
      <c r="H8" s="73" t="n">
        <f aca="true">IF(OR(C8="",G8=""),"",IFERROR(EDATE(TODAY(),G8),""))</f>
        <v>46669</v>
      </c>
      <c r="I8" s="50" t="n">
        <f aca="false">IF(OR(C8="",C8=0),"",D8/C8)</f>
        <v>0.166666666666667</v>
      </c>
      <c r="J8" s="33" t="str">
        <f aca="false">IF(C8="","",IF(D8&gt;=C8,"✅ ACHIEVED!",IF(AND(ISNUMBER(G8),G8&lt;=12),"🟡 Nearly there","🔵 In progress")))</f>
        <v>🔵 In progress</v>
      </c>
    </row>
    <row r="9" customFormat="false" ht="21.75" hidden="false" customHeight="true" outlineLevel="0" collapsed="false">
      <c r="A9" s="72" t="n">
        <v>5</v>
      </c>
      <c r="B9" s="29" t="s">
        <v>288</v>
      </c>
      <c r="C9" s="24" t="n">
        <v>15000</v>
      </c>
      <c r="D9" s="24" t="n">
        <v>0</v>
      </c>
      <c r="E9" s="24" t="n">
        <v>200</v>
      </c>
      <c r="F9" s="54" t="n">
        <v>0.04</v>
      </c>
      <c r="G9" s="32" t="n">
        <f aca="false">IF(OR(C9="",C9=0),"",IF(E9=0,CEILING((C9-D9)/E9,1),IFERROR(CEILING(-LOG(1-(C9-D9)*F9/12/E9)/LOG(1+F9/12),1),"Review")))</f>
        <v>87</v>
      </c>
      <c r="H9" s="73" t="n">
        <f aca="true">IF(OR(C9="",G9=""),"",IFERROR(EDATE(TODAY(),G9),""))</f>
        <v>48769</v>
      </c>
      <c r="I9" s="50" t="n">
        <f aca="false">IF(OR(C9="",C9=0),"",D9/C9)</f>
        <v>0</v>
      </c>
      <c r="J9" s="33" t="str">
        <f aca="false">IF(C9="","",IF(D9&gt;=C9,"✅ ACHIEVED!",IF(AND(ISNUMBER(G9),G9&lt;=12),"🟡 Nearly there","🔵 In progress")))</f>
        <v>🔵 In progress</v>
      </c>
    </row>
    <row r="10" customFormat="false" ht="21.75" hidden="false" customHeight="true" outlineLevel="0" collapsed="false">
      <c r="A10" s="72" t="n">
        <v>6</v>
      </c>
      <c r="B10" s="29"/>
      <c r="C10" s="24"/>
      <c r="D10" s="24"/>
      <c r="E10" s="24"/>
      <c r="F10" s="54"/>
      <c r="G10" s="32" t="str">
        <f aca="false">IF(OR(C10="",C10=0),"",IF(E10=0,CEILING((C10-D10)/E10,1),IFERROR(CEILING(-LOG(1-(C10-D10)*F10/12/E10)/LOG(1+F10/12),1),"Review")))</f>
        <v/>
      </c>
      <c r="H10" s="73" t="str">
        <f aca="true">IF(OR(C10="",G10=""),"",IFERROR(EDATE(TODAY(),G10),""))</f>
        <v/>
      </c>
      <c r="I10" s="50" t="str">
        <f aca="false">IF(OR(C10="",C10=0),"",D10/C10)</f>
        <v/>
      </c>
      <c r="J10" s="33" t="str">
        <f aca="false">IF(C10="","",IF(D10&gt;=C10,"✅ ACHIEVED!",IF(AND(ISNUMBER(G10),G10&lt;=12),"🟡 Nearly there","🔵 In progress")))</f>
        <v/>
      </c>
    </row>
    <row r="11" customFormat="false" ht="21.75" hidden="false" customHeight="true" outlineLevel="0" collapsed="false">
      <c r="A11" s="72" t="n">
        <v>7</v>
      </c>
      <c r="B11" s="29"/>
      <c r="C11" s="24"/>
      <c r="D11" s="24"/>
      <c r="E11" s="24"/>
      <c r="F11" s="54"/>
      <c r="G11" s="32" t="str">
        <f aca="false">IF(OR(C11="",C11=0),"",IF(E11=0,CEILING((C11-D11)/E11,1),IFERROR(CEILING(-LOG(1-(C11-D11)*F11/12/E11)/LOG(1+F11/12),1),"Review")))</f>
        <v/>
      </c>
      <c r="H11" s="73" t="str">
        <f aca="true">IF(OR(C11="",G11=""),"",IFERROR(EDATE(TODAY(),G11),""))</f>
        <v/>
      </c>
      <c r="I11" s="50" t="str">
        <f aca="false">IF(OR(C11="",C11=0),"",D11/C11)</f>
        <v/>
      </c>
      <c r="J11" s="33" t="str">
        <f aca="false">IF(C11="","",IF(D11&gt;=C11,"✅ ACHIEVED!",IF(AND(ISNUMBER(G11),G11&lt;=12),"🟡 Nearly there","🔵 In progress")))</f>
        <v/>
      </c>
    </row>
    <row r="12" customFormat="false" ht="21.75" hidden="false" customHeight="true" outlineLevel="0" collapsed="false">
      <c r="A12" s="72" t="n">
        <v>8</v>
      </c>
      <c r="B12" s="29"/>
      <c r="C12" s="24"/>
      <c r="D12" s="24"/>
      <c r="E12" s="24"/>
      <c r="F12" s="54"/>
      <c r="G12" s="32" t="str">
        <f aca="false">IF(OR(C12="",C12=0),"",IF(E12=0,CEILING((C12-D12)/E12,1),IFERROR(CEILING(-LOG(1-(C12-D12)*F12/12/E12)/LOG(1+F12/12),1),"Review")))</f>
        <v/>
      </c>
      <c r="H12" s="73" t="str">
        <f aca="true">IF(OR(C12="",G12=""),"",IFERROR(EDATE(TODAY(),G12),""))</f>
        <v/>
      </c>
      <c r="I12" s="50" t="str">
        <f aca="false">IF(OR(C12="",C12=0),"",D12/C12)</f>
        <v/>
      </c>
      <c r="J12" s="33" t="str">
        <f aca="false">IF(C12="","",IF(D12&gt;=C12,"✅ ACHIEVED!",IF(AND(ISNUMBER(G12),G12&lt;=12),"🟡 Nearly there","🔵 In progress")))</f>
        <v/>
      </c>
    </row>
    <row r="13" customFormat="false" ht="21.75" hidden="false" customHeight="true" outlineLevel="0" collapsed="false">
      <c r="A13" s="72" t="n">
        <v>9</v>
      </c>
      <c r="B13" s="29"/>
      <c r="C13" s="24"/>
      <c r="D13" s="24"/>
      <c r="E13" s="24"/>
      <c r="F13" s="54"/>
      <c r="G13" s="32" t="str">
        <f aca="false">IF(OR(C13="",C13=0),"",IF(E13=0,CEILING((C13-D13)/E13,1),IFERROR(CEILING(-LOG(1-(C13-D13)*F13/12/E13)/LOG(1+F13/12),1),"Review")))</f>
        <v/>
      </c>
      <c r="H13" s="73" t="str">
        <f aca="true">IF(OR(C13="",G13=""),"",IFERROR(EDATE(TODAY(),G13),""))</f>
        <v/>
      </c>
      <c r="I13" s="50" t="str">
        <f aca="false">IF(OR(C13="",C13=0),"",D13/C13)</f>
        <v/>
      </c>
      <c r="J13" s="33" t="str">
        <f aca="false">IF(C13="","",IF(D13&gt;=C13,"✅ ACHIEVED!",IF(AND(ISNUMBER(G13),G13&lt;=12),"🟡 Nearly there","🔵 In progress")))</f>
        <v/>
      </c>
    </row>
    <row r="14" customFormat="false" ht="21.75" hidden="false" customHeight="true" outlineLevel="0" collapsed="false">
      <c r="A14" s="72" t="n">
        <v>10</v>
      </c>
      <c r="B14" s="29"/>
      <c r="C14" s="24"/>
      <c r="D14" s="24"/>
      <c r="E14" s="24"/>
      <c r="F14" s="54"/>
      <c r="G14" s="32" t="str">
        <f aca="false">IF(OR(C14="",C14=0),"",IF(E14=0,CEILING((C14-D14)/E14,1),IFERROR(CEILING(-LOG(1-(C14-D14)*F14/12/E14)/LOG(1+F14/12),1),"Review")))</f>
        <v/>
      </c>
      <c r="H14" s="73" t="str">
        <f aca="true">IF(OR(C14="",G14=""),"",IFERROR(EDATE(TODAY(),G14),""))</f>
        <v/>
      </c>
      <c r="I14" s="50" t="str">
        <f aca="false">IF(OR(C14="",C14=0),"",D14/C14)</f>
        <v/>
      </c>
      <c r="J14" s="33" t="str">
        <f aca="false">IF(C14="","",IF(D14&gt;=C14,"✅ ACHIEVED!",IF(AND(ISNUMBER(G14),G14&lt;=12),"🟡 Nearly there","🔵 In progress")))</f>
        <v/>
      </c>
    </row>
    <row r="15" customFormat="false" ht="7.5" hidden="false" customHeight="true" outlineLevel="0" collapsed="false"/>
    <row r="16" customFormat="false" ht="21.75" hidden="false" customHeight="true" outlineLevel="0" collapsed="false">
      <c r="A16" s="34" t="s">
        <v>289</v>
      </c>
      <c r="B16" s="34"/>
      <c r="C16" s="34"/>
      <c r="D16" s="34"/>
      <c r="E16" s="34"/>
      <c r="F16" s="34"/>
      <c r="G16" s="34"/>
      <c r="H16" s="34"/>
      <c r="I16" s="34"/>
      <c r="J16" s="34"/>
    </row>
    <row r="17" customFormat="false" ht="19.5" hidden="false" customHeight="true" outlineLevel="0" collapsed="false">
      <c r="B17" s="74" t="s">
        <v>290</v>
      </c>
      <c r="C17" s="74"/>
      <c r="D17" s="74"/>
      <c r="E17" s="74"/>
      <c r="F17" s="74"/>
      <c r="G17" s="74"/>
      <c r="H17" s="74"/>
      <c r="I17" s="74"/>
      <c r="J17" s="75" t="n">
        <f aca="false">IF(ISNUMBER('💼 Income &amp; Budget'!C54),'💼 Income &amp; Budget'!C54*3,"Set up Income sheet first")</f>
        <v>10642.5</v>
      </c>
    </row>
    <row r="18" customFormat="false" ht="19.5" hidden="false" customHeight="true" outlineLevel="0" collapsed="false">
      <c r="B18" s="76" t="s">
        <v>291</v>
      </c>
      <c r="C18" s="76"/>
      <c r="D18" s="76"/>
      <c r="E18" s="76"/>
      <c r="F18" s="76"/>
      <c r="G18" s="76"/>
      <c r="H18" s="76"/>
      <c r="I18" s="76"/>
    </row>
    <row r="19" customFormat="false" ht="19.5" hidden="false" customHeight="true" outlineLevel="0" collapsed="false">
      <c r="B19" s="76" t="s">
        <v>292</v>
      </c>
      <c r="C19" s="76"/>
      <c r="D19" s="76"/>
      <c r="E19" s="76"/>
      <c r="F19" s="76"/>
      <c r="G19" s="76"/>
      <c r="H19" s="76"/>
      <c r="I19" s="76"/>
    </row>
    <row r="20" customFormat="false" ht="19.5" hidden="false" customHeight="true" outlineLevel="0" collapsed="false">
      <c r="B20" s="76" t="s">
        <v>293</v>
      </c>
      <c r="C20" s="76"/>
      <c r="D20" s="76"/>
      <c r="E20" s="76"/>
      <c r="F20" s="76"/>
      <c r="G20" s="76"/>
      <c r="H20" s="76"/>
      <c r="I20" s="76"/>
    </row>
  </sheetData>
  <mergeCells count="7">
    <mergeCell ref="A1:J1"/>
    <mergeCell ref="A2:J2"/>
    <mergeCell ref="A16:J16"/>
    <mergeCell ref="B17:I17"/>
    <mergeCell ref="B18:I18"/>
    <mergeCell ref="B19:I19"/>
    <mergeCell ref="B20:I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2026-04-09T21:03:49Z</dcterms:created>
  <dc:creator>openpyxl</dc:creator>
  <dc:description/>
  <dc:language>en-US</dc:language>
  <cp:lastModifiedBy/>
  <dcterms:modified xsi:type="dcterms:W3CDTF">2026-04-09T21:46:18Z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